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ANTA CRUZ DE TENERIFE\"/>
    </mc:Choice>
  </mc:AlternateContent>
  <workbookProtection workbookAlgorithmName="SHA-512" workbookHashValue="4M8jIV+EnxMdGQ89o/mXG/6SbxuijSefpm6Ilh+qMk32rE8aXsBV0tGnElas9+XyudIHjnm2AHHyIw7JEEfwXg==" workbookSaltValue="XYuNUTg7XKJfE24Zp7PuA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Y20" i="20"/>
  <c r="AW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L17" i="2" s="1"/>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C19" i="8" s="1"/>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J19" i="8" s="1"/>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C17" i="2"/>
  <c r="I9" i="2"/>
  <c r="I10" i="2"/>
  <c r="I11" i="2"/>
  <c r="I12" i="2"/>
  <c r="C10" i="2"/>
  <c r="C11" i="2"/>
  <c r="D11" i="2" s="1"/>
  <c r="C12" i="2"/>
  <c r="D12" i="2" s="1"/>
  <c r="G9" i="2"/>
  <c r="G10" i="2"/>
  <c r="D10" i="6" s="1"/>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BD12" i="8" s="1"/>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BF9" i="8" s="1"/>
  <c r="AY10" i="8"/>
  <c r="AZ10" i="8"/>
  <c r="BA10" i="8"/>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X19" i="8"/>
  <c r="BE11" i="13"/>
  <c r="BD11" i="13"/>
  <c r="BC18" i="13"/>
  <c r="BF17" i="8"/>
  <c r="BC13" i="13"/>
  <c r="BK19" i="13"/>
  <c r="BE9" i="13"/>
  <c r="ER19" i="8"/>
  <c r="EL19" i="8"/>
  <c r="EQ19" i="8"/>
  <c r="D16" i="2"/>
  <c r="ES19" i="8"/>
  <c r="BH19" i="13"/>
  <c r="R8" i="9"/>
  <c r="X12" i="21" s="1"/>
  <c r="R19" i="8"/>
  <c r="EP19" i="8"/>
  <c r="EP19" i="19"/>
  <c r="BH9" i="16"/>
  <c r="V15" i="11"/>
  <c r="BJ17" i="11"/>
  <c r="BH15" i="11"/>
  <c r="BH15" i="16"/>
  <c r="Q17" i="20"/>
  <c r="Q18" i="20" s="1"/>
  <c r="V11" i="16"/>
  <c r="BF17" i="11"/>
  <c r="BF16" i="11"/>
  <c r="S17" i="16"/>
  <c r="BL12" i="11"/>
  <c r="AT17" i="20"/>
  <c r="V17" i="16"/>
  <c r="N13" i="2"/>
  <c r="AO12" i="11"/>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T13" i="16"/>
  <c r="AZ16" i="11"/>
  <c r="T16" i="11"/>
  <c r="S15" i="16"/>
  <c r="P15" i="17"/>
  <c r="BF12" i="11"/>
  <c r="BL15" i="11"/>
  <c r="BL10" i="11"/>
  <c r="BH10" i="16"/>
  <c r="Q15" i="17"/>
  <c r="BM17" i="11"/>
  <c r="BF15" i="11"/>
  <c r="BM9" i="11"/>
  <c r="BH12" i="16"/>
  <c r="BK10" i="11"/>
  <c r="T13" i="20"/>
  <c r="AY18" i="8"/>
  <c r="BB13" i="13"/>
  <c r="J18" i="17"/>
  <c r="L15" i="2"/>
  <c r="V10" i="16"/>
  <c r="V9" i="16"/>
  <c r="BG15" i="13"/>
  <c r="BA18" i="13"/>
  <c r="BE15" i="13"/>
  <c r="AO20" i="20"/>
  <c r="AN20" i="20"/>
  <c r="Y20" i="20"/>
  <c r="U10" i="11"/>
  <c r="AH20" i="20"/>
  <c r="AL20" i="20"/>
  <c r="AB20" i="20"/>
  <c r="T19" i="8" l="1"/>
  <c r="AC10" i="11"/>
  <c r="H13" i="12"/>
  <c r="BE10" i="8"/>
  <c r="T13" i="12"/>
  <c r="E12" i="6"/>
  <c r="K18" i="2"/>
  <c r="AL12" i="11"/>
  <c r="C17" i="6"/>
  <c r="M13" i="2"/>
  <c r="B10" i="6"/>
  <c r="H12" i="2"/>
  <c r="H12" i="7"/>
  <c r="AL9" i="11"/>
  <c r="C10" i="6"/>
  <c r="AP16" i="20"/>
  <c r="T17" i="11"/>
  <c r="L9" i="2"/>
  <c r="U9" i="17"/>
  <c r="U19" i="17" s="1"/>
  <c r="L16" i="2"/>
  <c r="BL16" i="11"/>
  <c r="BJ16" i="11"/>
  <c r="BJ18" i="11" s="1"/>
  <c r="AQ12" i="21"/>
  <c r="BH16" i="11"/>
  <c r="BG16" i="11"/>
  <c r="BH11" i="11"/>
  <c r="BK16" i="11"/>
  <c r="BJ10" i="11"/>
  <c r="AQ10" i="21"/>
  <c r="BI9" i="11"/>
  <c r="BH10" i="11"/>
  <c r="Q17" i="17"/>
  <c r="BG12" i="11"/>
  <c r="AZ12" i="11"/>
  <c r="BU12" i="17"/>
  <c r="V12" i="16"/>
  <c r="BW10" i="20"/>
  <c r="U10" i="17"/>
  <c r="BW11" i="20"/>
  <c r="BV11" i="16"/>
  <c r="BW12" i="20"/>
  <c r="BV12" i="16"/>
  <c r="BU10" i="17"/>
  <c r="BV17" i="16"/>
  <c r="BU11" i="17"/>
  <c r="T15" i="16"/>
  <c r="T17" i="16"/>
  <c r="BM15" i="11"/>
  <c r="BH17" i="11"/>
  <c r="BL11" i="11"/>
  <c r="BG9" i="11"/>
  <c r="BI17" i="11"/>
  <c r="R10" i="21"/>
  <c r="R13" i="21" s="1"/>
  <c r="BJ11" i="11"/>
  <c r="V9" i="11"/>
  <c r="Q10" i="21"/>
  <c r="BI10" i="11"/>
  <c r="V11" i="11"/>
  <c r="BK15" i="11"/>
  <c r="F9" i="2"/>
  <c r="BK9" i="11"/>
  <c r="BF10" i="11"/>
  <c r="BK12" i="11"/>
  <c r="BL17" i="11"/>
  <c r="P17" i="17"/>
  <c r="BM16" i="11"/>
  <c r="BG10" i="11"/>
  <c r="BH17" i="16"/>
  <c r="BL9" i="11"/>
  <c r="BH11" i="16"/>
  <c r="BF11" i="11"/>
  <c r="T9" i="11"/>
  <c r="BF15" i="13"/>
  <c r="BG16" i="13"/>
  <c r="BE16" i="13"/>
  <c r="BG15" i="8"/>
  <c r="K15" i="7" s="1"/>
  <c r="BD16" i="8"/>
  <c r="AO17" i="11"/>
  <c r="L16" i="14"/>
  <c r="L17" i="14"/>
  <c r="F15" i="17"/>
  <c r="AQ15" i="17" s="1"/>
  <c r="AY13" i="8"/>
  <c r="L9" i="14"/>
  <c r="L12" i="14"/>
  <c r="AY13" i="13"/>
  <c r="BA13" i="13"/>
  <c r="BE13" i="13" s="1"/>
  <c r="S12" i="14"/>
  <c r="V12" i="14" s="1"/>
  <c r="S16" i="14"/>
  <c r="V16" i="14" s="1"/>
  <c r="R11" i="14"/>
  <c r="R17" i="14"/>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AZ13" i="11"/>
  <c r="K18" i="11"/>
  <c r="E9" i="6"/>
  <c r="I9" i="7"/>
  <c r="H9" i="7"/>
  <c r="K9" i="7"/>
  <c r="AO10" i="17"/>
  <c r="AM9" i="11"/>
  <c r="AO12" i="17"/>
  <c r="AO11" i="11"/>
  <c r="AL11" i="11"/>
  <c r="AO15" i="11"/>
  <c r="H16" i="7"/>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J18" i="2"/>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H20" i="20"/>
  <c r="P20" i="20"/>
  <c r="AZ20" i="20"/>
  <c r="AM20" i="20"/>
  <c r="N20" i="20"/>
  <c r="AU20" i="20"/>
  <c r="AF20" i="20"/>
  <c r="F20" i="20"/>
  <c r="AK20" i="20"/>
  <c r="W20" i="21"/>
  <c r="AV20" i="20"/>
  <c r="AQ20" i="21"/>
  <c r="K20" i="20"/>
  <c r="AD20" i="20"/>
  <c r="AJ20" i="20"/>
  <c r="J20" i="20"/>
  <c r="O16" i="11"/>
  <c r="AG20" i="20"/>
  <c r="U12" i="11"/>
  <c r="S20" i="20"/>
  <c r="Z20" i="20"/>
  <c r="U16" i="11"/>
  <c r="G18" i="14"/>
  <c r="AE20" i="20"/>
  <c r="X20" i="20"/>
  <c r="Q20" i="20"/>
  <c r="AI20" i="20"/>
  <c r="M20" i="20"/>
  <c r="AQ20" i="20"/>
  <c r="E20" i="20"/>
  <c r="AP20" i="20"/>
  <c r="T20" i="20"/>
  <c r="AC20" i="20"/>
  <c r="W20" i="20"/>
  <c r="I20" i="20"/>
  <c r="AA20" i="20"/>
  <c r="G13" i="14"/>
  <c r="T20" i="21"/>
  <c r="I10" i="12" l="1"/>
  <c r="F13" i="2"/>
  <c r="K9" i="12"/>
  <c r="C13" i="6"/>
  <c r="J13" i="2"/>
  <c r="BG13" i="13"/>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7" i="11"/>
  <c r="L20" i="20"/>
  <c r="O10" i="11"/>
  <c r="U17" i="11"/>
  <c r="AX20" i="20"/>
  <c r="H20" i="17"/>
  <c r="B19" i="7" l="1"/>
  <c r="AO18" i="1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BR20" i="16"/>
  <c r="AW20" i="11"/>
  <c r="AX20" i="21"/>
  <c r="AU20" i="17"/>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J20" i="17"/>
  <c r="T20" i="16"/>
  <c r="AT20" i="16"/>
  <c r="Q20" i="11"/>
  <c r="AK20" i="21"/>
  <c r="M20" i="16"/>
  <c r="AD20" i="11"/>
  <c r="M20" i="11"/>
  <c r="T20" i="17"/>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V20" i="16"/>
  <c r="K20" i="17"/>
  <c r="Z20" i="11"/>
  <c r="BE20" i="16"/>
  <c r="BA20" i="16"/>
  <c r="D20" i="12"/>
  <c r="AB20" i="17"/>
  <c r="AA20" i="11"/>
  <c r="AV20" i="16"/>
  <c r="AJ20" i="21"/>
  <c r="AJ20" i="16"/>
  <c r="U20" i="11"/>
  <c r="BH20" i="16"/>
  <c r="W20" i="11"/>
  <c r="Z20" i="16"/>
  <c r="E20" i="16"/>
  <c r="F20" i="16"/>
  <c r="Q20" i="16"/>
  <c r="AC20" i="16"/>
  <c r="K20" i="21"/>
  <c r="T20" i="11"/>
  <c r="AH20" i="21"/>
  <c r="AO20" i="17"/>
  <c r="BQ20" i="16"/>
  <c r="Y20" i="17"/>
  <c r="L20" i="11"/>
  <c r="S20" i="21"/>
  <c r="AO20" i="16"/>
  <c r="BC20" i="16"/>
  <c r="AC20" i="21"/>
  <c r="BJ20" i="16"/>
  <c r="AQ20" i="16"/>
  <c r="N20" i="16"/>
  <c r="AD20" i="17"/>
  <c r="R20" i="11"/>
  <c r="I20" i="11"/>
  <c r="I20" i="17"/>
  <c r="R20" i="16"/>
  <c r="H20" i="11"/>
  <c r="AW20" i="21"/>
  <c r="BB20" i="16"/>
  <c r="L20" i="16"/>
  <c r="AF20" i="21"/>
  <c r="W20" i="17"/>
  <c r="AO20" i="11"/>
  <c r="E20" i="21"/>
  <c r="BM20" i="16"/>
  <c r="AM20" i="11"/>
  <c r="BE20" i="21"/>
  <c r="I20" i="12"/>
  <c r="U20" i="17"/>
  <c r="F20" i="17"/>
  <c r="AF20" i="11"/>
  <c r="P20" i="16"/>
  <c r="AG20" i="21"/>
  <c r="AL20" i="17"/>
  <c r="AS20" i="16"/>
  <c r="H20" i="16"/>
  <c r="U20" i="21"/>
  <c r="O12" i="11"/>
  <c r="BD19" i="8" l="1"/>
  <c r="AQ20" i="11"/>
  <c r="AQ20" i="17"/>
  <c r="BL20" i="16"/>
  <c r="AP20" i="11"/>
  <c r="AT20" i="2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I19" i="7" l="1"/>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<sst xmlns="http://schemas.openxmlformats.org/spreadsheetml/2006/main" count="2088" uniqueCount="916">
  <si>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</si>
  <si>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</si>
  <si>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</si>
  <si>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</si>
  <si>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</si>
  <si>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</si>
  <si>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</si>
  <si>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</si>
  <si>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</si>
  <si>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</si>
  <si>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</si>
  <si>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</si>
  <si>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</si>
  <si>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</si>
  <si>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</si>
  <si>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</si>
  <si>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</si>
  <si>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</si>
  <si>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</si>
  <si>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</si>
  <si>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</si>
  <si>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</si>
  <si>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</si>
  <si>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</si>
  <si>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</si>
  <si>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</si>
  <si>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</si>
  <si>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</si>
  <si>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</si>
  <si>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</si>
  <si>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</si>
  <si>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</si>
  <si>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</si>
  <si>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</si>
  <si>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</si>
  <si>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</si>
  <si>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</si>
  <si>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</si>
  <si>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</si>
  <si>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</si>
  <si>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</si>
  <si>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</si>
  <si>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</si>
  <si>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</si>
  <si>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</si>
  <si>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</si>
  <si>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</si>
  <si>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</si>
  <si>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</si>
  <si>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</si>
  <si>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</si>
  <si>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</si>
  <si>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</si>
  <si>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</si>
  <si>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</si>
  <si>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</si>
  <si>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</si>
  <si>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</si>
  <si>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</si>
  <si>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</si>
  <si>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</si>
  <si>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</si>
  <si>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</si>
  <si>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</si>
  <si>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</si>
  <si>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</si>
  <si>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</si>
  <si>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</si>
  <si>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</si>
  <si>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</si>
  <si>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</si>
  <si>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</si>
  <si>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</si>
  <si>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</si>
  <si>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</si>
  <si>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</si>
  <si>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</si>
  <si>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</si>
  <si>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</si>
  <si>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</si>
  <si>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</si>
  <si>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</si>
  <si>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</si>
  <si>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</si>
  <si>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</si>
  <si>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</si>
  <si>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</si>
  <si>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</si>
  <si>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</si>
  <si>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</si>
  <si>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</si>
  <si>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</si>
  <si>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</si>
  <si>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</si>
  <si>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</si>
  <si>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</si>
  <si>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</si>
  <si>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</si>
  <si>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</si>
  <si>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</si>
  <si>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</si>
  <si>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</si>
  <si>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</si>
  <si>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</si>
  <si>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</si>
  <si>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</si>
  <si>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</si>
  <si>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</si>
  <si>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</si>
  <si>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</si>
  <si>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</si>
  <si>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</si>
  <si>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</si>
  <si>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</si>
  <si>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</si>
  <si>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</si>
  <si>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</si>
  <si>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</si>
  <si>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</si>
  <si>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</si>
  <si>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</si>
  <si>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</si>
  <si>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</si>
  <si>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</si>
  <si>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</si>
  <si>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</si>
  <si>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</si>
  <si>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</si>
  <si>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</si>
  <si>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</si>
  <si>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</si>
  <si>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</si>
  <si>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</si>
  <si>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</si>
  <si>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</si>
  <si>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</si>
  <si>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</si>
  <si>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</si>
  <si>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</si>
  <si>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</si>
  <si>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</si>
  <si>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</si>
  <si>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</si>
  <si>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</si>
  <si>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</si>
  <si>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</si>
  <si>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</si>
  <si>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</si>
  <si>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</si>
  <si>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</si>
  <si>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</si>
  <si>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</si>
  <si>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</si>
  <si>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</si>
  <si>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</si>
  <si>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</si>
  <si>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</si>
  <si>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</si>
  <si>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</si>
  <si>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</si>
  <si>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</si>
  <si>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</si>
  <si>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</si>
  <si>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</si>
  <si>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</si>
  <si>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</si>
  <si>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</si>
  <si>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</si>
  <si>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</si>
  <si>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</si>
  <si>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</si>
  <si>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</si>
  <si>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</si>
  <si>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</si>
  <si>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</si>
  <si>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</si>
  <si>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</si>
  <si>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</si>
  <si>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</si>
  <si>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</si>
  <si>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</si>
  <si>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</si>
  <si>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</si>
  <si>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</si>
  <si>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</si>
  <si>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</si>
  <si>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</si>
  <si>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</si>
  <si>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</si>
  <si>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</si>
  <si>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</si>
  <si>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</si>
  <si>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</si>
  <si>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</si>
  <si>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</si>
  <si>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</si>
  <si>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</si>
  <si>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</si>
  <si>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</si>
  <si>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</si>
  <si>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</si>
  <si>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</si>
  <si>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</si>
  <si>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</si>
  <si>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</si>
  <si>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</si>
  <si>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</si>
  <si>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</si>
  <si>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</si>
  <si>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</si>
  <si>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</si>
  <si>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</si>
  <si>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</si>
  <si>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</si>
  <si>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</si>
  <si>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</si>
  <si>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</si>
  <si>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</si>
  <si>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</si>
  <si>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</si>
  <si>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</si>
  <si>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</si>
  <si>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</si>
  <si>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</si>
  <si>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</si>
  <si>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</si>
  <si>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</si>
  <si>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</si>
  <si>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</si>
  <si>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</si>
  <si>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</si>
  <si>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</si>
  <si>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</si>
  <si>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</si>
  <si>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</si>
  <si>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</si>
  <si>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</si>
  <si>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</si>
  <si>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</si>
  <si>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</si>
  <si>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</si>
  <si>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</si>
  <si>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</si>
  <si>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</si>
  <si>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</si>
  <si>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</si>
  <si>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</si>
  <si>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</si>
  <si>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</si>
  <si>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</si>
  <si>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</si>
  <si>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</si>
  <si>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</si>
  <si>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</si>
  <si>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</si>
  <si>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</si>
  <si>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</si>
  <si>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</si>
  <si>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</si>
  <si>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</si>
  <si>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</si>
  <si>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</si>
  <si>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</si>
  <si>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</si>
  <si>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</si>
  <si>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</si>
  <si>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</si>
  <si>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</si>
  <si>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</si>
  <si>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</si>
  <si>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</si>
  <si>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</si>
  <si>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</si>
  <si>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</si>
  <si>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</si>
  <si>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</si>
  <si>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</si>
  <si>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</si>
  <si>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</si>
  <si>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</si>
  <si>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</si>
  <si>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</si>
  <si>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</si>
  <si>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</si>
  <si>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</si>
  <si>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</si>
  <si>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</si>
  <si>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</si>
  <si>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</si>
  <si>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</si>
  <si>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</si>
  <si>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</si>
  <si>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</si>
  <si>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</si>
  <si>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</si>
  <si>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</si>
  <si>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</si>
  <si>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</si>
  <si>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</si>
  <si>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</si>
  <si>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</si>
  <si>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</si>
  <si>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</si>
  <si>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</si>
  <si>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</si>
  <si>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</si>
  <si>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</si>
  <si>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</si>
  <si>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</si>
  <si>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</si>
  <si>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</si>
  <si>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</si>
  <si>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</si>
  <si>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</si>
  <si>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</si>
  <si>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</si>
  <si>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</si>
  <si>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</si>
  <si>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</si>
  <si>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</si>
  <si>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</si>
  <si>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</si>
  <si>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</si>
  <si>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</si>
  <si>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</si>
  <si>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</si>
  <si>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</si>
  <si>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</si>
  <si>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</si>
  <si>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</si>
  <si>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</si>
  <si>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</si>
  <si>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</si>
  <si>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</si>
  <si>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</si>
  <si>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</si>
  <si>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</si>
  <si>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</si>
  <si>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</si>
  <si>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</si>
  <si>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</si>
  <si>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</si>
  <si>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</si>
  <si>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</si>
  <si>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</si>
  <si>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</si>
  <si>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</si>
  <si>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</si>
  <si>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</si>
  <si>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</si>
  <si>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</si>
  <si>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</si>
  <si>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</si>
  <si>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</si>
  <si>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</si>
  <si>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</si>
  <si>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</si>
  <si>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</si>
  <si>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</si>
  <si>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</si>
  <si>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</si>
  <si>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</si>
  <si>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</si>
  <si>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</si>
  <si>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</si>
  <si>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</si>
  <si>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</si>
  <si>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</si>
  <si>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</si>
  <si>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</si>
  <si>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</si>
  <si>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</si>
  <si>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</si>
  <si>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</si>
  <si>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</si>
  <si>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</si>
  <si>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</si>
  <si>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</si>
  <si>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</si>
  <si>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</si>
  <si>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</si>
  <si>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</si>
  <si>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</si>
  <si>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</si>
  <si>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</si>
  <si>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</si>
  <si>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</si>
  <si>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</si>
  <si>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</si>
  <si>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</si>
  <si>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</si>
  <si>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</si>
  <si>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</si>
  <si>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</si>
  <si>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</si>
  <si>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</si>
  <si>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</si>
  <si>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</si>
  <si>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</si>
  <si>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</si>
  <si>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</si>
  <si>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</si>
  <si>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</si>
  <si>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</si>
  <si>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</si>
  <si>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</si>
  <si>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</si>
  <si>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</si>
  <si>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</si>
  <si>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</si>
  <si>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</si>
  <si>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</si>
  <si>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</si>
  <si>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</si>
  <si>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</si>
  <si>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</si>
  <si>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</si>
  <si>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</si>
  <si>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</si>
  <si>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</si>
  <si>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</si>
  <si>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</si>
  <si>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</si>
  <si>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</si>
  <si>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</si>
  <si>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</si>
  <si>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</si>
  <si>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</si>
  <si>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</si>
  <si>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</si>
  <si>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</si>
  <si>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</si>
  <si>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</si>
  <si>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</si>
  <si>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</si>
  <si>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</si>
  <si>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</si>
  <si>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</si>
  <si>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</si>
  <si>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</si>
  <si>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</si>
  <si>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</si>
  <si>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</si>
  <si>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</si>
  <si>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</si>
  <si>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</si>
  <si>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</si>
  <si>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</si>
  <si>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</si>
  <si>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</si>
  <si>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</si>
  <si>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</si>
  <si>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</si>
  <si>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</si>
  <si>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</si>
  <si>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</si>
  <si>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</si>
  <si>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</si>
  <si>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</si>
  <si>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</si>
  <si>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</si>
  <si>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</si>
  <si>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</si>
  <si>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</si>
  <si>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</si>
  <si>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</si>
  <si>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</si>
  <si>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</si>
  <si>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</si>
  <si>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</si>
  <si>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</si>
  <si>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</si>
  <si>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</si>
  <si>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</si>
  <si>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</si>
  <si>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</si>
  <si>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</si>
  <si>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</si>
  <si>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</si>
  <si>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</si>
  <si>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</si>
  <si>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</si>
  <si>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</si>
  <si>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</si>
  <si>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</si>
  <si>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</si>
  <si>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</si>
  <si>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</si>
  <si>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</si>
  <si>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</si>
  <si>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</si>
  <si>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</si>
  <si>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</si>
  <si>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</si>
  <si>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</si>
  <si>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</si>
  <si>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</si>
  <si>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</si>
  <si>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</si>
  <si>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</si>
  <si>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</si>
  <si>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</si>
  <si>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</si>
  <si>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</si>
  <si>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</si>
  <si>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</si>
  <si>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</si>
  <si>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</si>
  <si>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</si>
  <si>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</si>
  <si>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</si>
  <si>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</si>
  <si>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</si>
  <si>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</si>
  <si>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</si>
  <si>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</si>
  <si>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</si>
  <si>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</si>
  <si>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</si>
  <si>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</si>
  <si>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</si>
  <si>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</si>
  <si>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</si>
  <si>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</si>
  <si>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</si>
  <si>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</si>
  <si>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</si>
  <si>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</si>
  <si>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</si>
  <si>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</si>
  <si>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</si>
  <si>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</si>
  <si>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</si>
  <si>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</si>
  <si>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</si>
  <si>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</si>
  <si>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</si>
  <si>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</si>
  <si>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</si>
  <si>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</si>
  <si>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</si>
  <si>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</si>
  <si>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</si>
  <si>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</si>
  <si>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</si>
  <si>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</si>
  <si>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</si>
  <si>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</si>
  <si>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</si>
  <si>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</si>
  <si>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</si>
  <si>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</si>
  <si>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</si>
  <si>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</si>
  <si>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</si>
  <si>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</si>
  <si>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</si>
  <si>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</si>
  <si>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</si>
  <si>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</si>
  <si>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</si>
  <si>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</si>
  <si>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</si>
  <si>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</si>
  <si>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</si>
  <si>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</si>
  <si>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</si>
  <si>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</si>
  <si>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</si>
  <si>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</si>
  <si>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</si>
  <si>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</si>
  <si>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</si>
  <si>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</si>
  <si>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</si>
  <si>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</si>
  <si>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</si>
  <si>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</si>
  <si>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</si>
  <si>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</si>
  <si>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</si>
  <si>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</si>
  <si>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</si>
  <si>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</si>
  <si>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</si>
  <si>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</si>
  <si>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</si>
  <si>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</si>
  <si>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</si>
  <si>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</si>
  <si>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</si>
  <si>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</si>
  <si>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</si>
  <si>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</si>
  <si>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</si>
  <si>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</si>
  <si>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</si>
  <si>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</si>
  <si>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</si>
  <si>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</si>
  <si>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</si>
  <si>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</si>
  <si>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</si>
  <si>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</si>
  <si>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</si>
  <si>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</si>
  <si>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</si>
  <si>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</si>
  <si>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</si>
  <si>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</si>
  <si>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</si>
  <si>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</si>
  <si>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</si>
  <si>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</si>
  <si>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</si>
  <si>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</si>
  <si>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</si>
  <si>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</si>
  <si>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</si>
  <si>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</si>
  <si>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</si>
  <si>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</si>
  <si>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</si>
  <si>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</si>
  <si>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</si>
  <si>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</si>
  <si>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</si>
  <si>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</si>
  <si>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</si>
  <si>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</si>
  <si>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</si>
  <si>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</si>
  <si>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</si>
  <si>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</si>
  <si>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</si>
  <si>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</si>
  <si>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</si>
  <si>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</si>
  <si>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</si>
  <si>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</si>
  <si>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</si>
  <si>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</si>
  <si>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</si>
  <si>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</si>
  <si>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</si>
  <si>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</si>
  <si>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</si>
  <si>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</si>
  <si>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</si>
  <si>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</si>
  <si>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</si>
  <si>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</si>
  <si>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</si>
  <si>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</si>
  <si>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</si>
  <si>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</si>
  <si>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</si>
  <si>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</si>
  <si>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</si>
  <si>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</si>
  <si>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</si>
  <si>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</si>
  <si>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</si>
  <si>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</si>
  <si>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</si>
  <si>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</si>
  <si>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</si>
  <si>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</si>
  <si>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</si>
  <si>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</si>
  <si>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</si>
  <si>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</si>
  <si>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</si>
  <si>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</si>
  <si>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</si>
  <si>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</si>
  <si>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</si>
  <si>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</si>
  <si>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</si>
  <si>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</si>
  <si>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</si>
  <si>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</si>
  <si>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</si>
  <si>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</si>
  <si>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</si>
  <si>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</si>
  <si>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</si>
  <si>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</si>
  <si>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</si>
  <si>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</si>
  <si>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</si>
  <si>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</si>
  <si>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</si>
  <si>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</si>
  <si>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</si>
  <si>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</si>
  <si>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</si>
  <si>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</si>
  <si>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</si>
  <si>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</si>
  <si>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</si>
  <si>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</si>
  <si>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</si>
  <si>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</si>
  <si>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</si>
  <si>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</si>
  <si>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</si>
  <si>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</si>
  <si>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</si>
  <si>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</si>
  <si>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</si>
  <si>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</si>
  <si>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</si>
  <si>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</si>
  <si>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</si>
  <si>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</si>
  <si>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</si>
  <si>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</si>
  <si>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</si>
  <si>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</si>
  <si>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</si>
  <si>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</si>
  <si>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</si>
  <si>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</si>
  <si>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</si>
  <si>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</si>
  <si>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</si>
  <si>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</si>
  <si>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</si>
  <si>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</si>
  <si>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</si>
  <si>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</si>
  <si>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</si>
  <si>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</si>
  <si>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</si>
  <si>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</si>
  <si>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</si>
  <si>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</si>
  <si>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</si>
  <si>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</si>
  <si>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</si>
  <si>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</si>
  <si>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</si>
  <si>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</si>
  <si>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</si>
  <si>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</si>
  <si>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</si>
  <si>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</si>
  <si>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</si>
  <si>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</si>
  <si>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</si>
  <si>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</si>
  <si>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</si>
  <si>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</si>
  <si>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</si>
  <si>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</si>
  <si>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</si>
  <si>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</si>
  <si>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</si>
  <si>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</si>
  <si>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</si>
  <si>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</si>
  <si>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</si>
  <si>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</si>
  <si>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</si>
  <si>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</si>
  <si>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</si>
  <si>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</si>
  <si>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</si>
  <si>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</si>
  <si>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</si>
  <si>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</si>
  <si>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</si>
  <si>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</si>
  <si>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</si>
  <si>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</si>
  <si>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</si>
  <si>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</si>
  <si>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</si>
  <si>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</si>
  <si>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</si>
  <si>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</si>
  <si>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</si>
  <si>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</si>
  <si>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</si>
  <si>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</si>
  <si>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</si>
  <si>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</si>
  <si>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</si>
  <si>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</si>
  <si>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</si>
  <si>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</si>
  <si>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</si>
  <si>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</si>
  <si>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</si>
  <si>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</si>
  <si>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</si>
  <si>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</si>
  <si>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</si>
  <si>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</si>
  <si>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</si>
  <si>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</si>
  <si>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</si>
  <si>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</si>
  <si>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</si>
  <si>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</si>
  <si>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</si>
  <si>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</si>
  <si>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</si>
  <si>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</si>
  <si>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</si>
  <si>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</si>
  <si>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</si>
  <si>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</si>
  <si>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</si>
  <si>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</si>
  <si>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</si>
  <si>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</si>
  <si>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</si>
  <si>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</si>
  <si>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</si>
  <si>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</si>
  <si>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</si>
  <si>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</si>
  <si>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</si>
  <si>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</si>
  <si>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</si>
  <si>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</si>
  <si>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</si>
  <si>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</si>
  <si>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</si>
  <si>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</si>
  <si>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</si>
  <si>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</si>
  <si>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</si>
  <si>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</si>
  <si>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</si>
  <si>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</si>
  <si>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</si>
  <si>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</si>
  <si>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</si>
  <si>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</si>
  <si>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</si>
  <si>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</si>
  <si>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</si>
  <si>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</si>
  <si>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</si>
  <si>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</si>
  <si>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</si>
  <si>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</si>
  <si>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</si>
  <si>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</si>
  <si>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</si>
  <si>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</si>
  <si>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</si>
  <si>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</si>
  <si>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</si>
  <si>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</si>
  <si>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</si>
  <si>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</si>
  <si>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</si>
  <si>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</si>
  <si>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</si>
  <si>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</si>
  <si>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</si>
  <si>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</si>
  <si>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</si>
  <si>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</si>
  <si>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</si>
  <si>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</si>
  <si>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</si>
  <si>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</si>
  <si>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</si>
  <si>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</si>
  <si>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</si>
  <si>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</si>
  <si>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</si>
  <si>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</si>
  <si>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</si>
  <si>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</si>
  <si>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</si>
  <si>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</si>
  <si>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</si>
  <si>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</si>
  <si>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</si>
  <si>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</si>
  <si>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</si>
  <si>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</si>
  <si>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</si>
  <si>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</si>
  <si>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</si>
  <si>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</si>
  <si>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</si>
  <si>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</si>
  <si>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</si>
  <si>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</si>
  <si>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</si>
  <si>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</si>
  <si>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</si>
  <si>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</si>
  <si>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</si>
  <si>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</si>
  <si>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</si>
  <si>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</si>
  <si>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</si>
  <si>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</si>
  <si>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</si>
  <si>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</si>
  <si>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</si>
  <si>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</si>
  <si>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</si>
  <si>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</si>
  <si>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CANARIAS</t>
  </si>
  <si>
    <t>Provincias</t>
  </si>
  <si>
    <t>SANTA CRUZ DE TENERIFE</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</si>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</sst>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914</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JFzXR90PSVrzB8ZhI/xfgsxsOBdQ/6MB0Ob2GJUM9HEjpPGG6W1gFUeQ6EPZpjImsLYy4Q2K/luGcPOh93w/7Q==" saltValue="8im8dPQLT4i90lvPpbLfp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CANARIAS</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9</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35.554878048780488</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2</v>
      </c>
      <c r="B10" s="502" t="str">
        <f>Datos!A10</f>
        <v>Jdos. Violencia contra la mujer</v>
      </c>
      <c r="C10" s="225">
        <f t="shared" si="0"/>
        <v>256</v>
      </c>
      <c r="D10" s="225">
        <f>IF(ISNUMBER(Datos!I10),Datos!I10," - ")</f>
        <v>256</v>
      </c>
      <c r="E10" s="226">
        <f>IF(ISNUMBER(Datos!J10),Datos!J10," - ")</f>
        <v>56</v>
      </c>
      <c r="F10" s="226">
        <f>IF(ISNUMBER(Datos!K10),Datos!K10," - ")</f>
        <v>41</v>
      </c>
      <c r="G10" s="1034" t="str">
        <f>IF(Datos!E10&lt;&gt;"",Datos!E10,Datos!D10)</f>
        <v>37</v>
      </c>
      <c r="H10" s="227">
        <f>IF(ISNUMBER(Datos!L10),Datos!L10," - ")</f>
        <v>271</v>
      </c>
      <c r="I10" s="1044" t="str">
        <f>IF(ISNUMBER(Datos!AS10/Datos!BM10),Datos!AS10/Datos!BM10," - ")</f>
        <v xml:space="preserve"> - </v>
      </c>
      <c r="J10" s="1045">
        <f>IF(ISNUMBER(Datos!BY10/Datos!CN10),Datos!BY10/Datos!CN10," - ")</f>
        <v>0</v>
      </c>
      <c r="K10" s="230">
        <f t="shared" ref="K10:K12" si="1">IF(ISNUMBER((E10-F10)/C10),(E10-F10)/C10," - ")</f>
        <v>5.859375E-2</v>
      </c>
      <c r="L10" s="1025">
        <f>IF(ISNUMBER(NºAsuntos!I10/NºAsuntos!G10),(NºAsuntos!I10/NºAsuntos!G10)*11," - ")</f>
        <v>72.707317073170728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19.668874172185429</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256</v>
      </c>
      <c r="D13" s="1049">
        <f>SUBTOTAL(9,D9:D12)</f>
        <v>256</v>
      </c>
      <c r="E13" s="1050">
        <f>SUBTOTAL(9,E9:E12)</f>
        <v>56</v>
      </c>
      <c r="F13" s="1051">
        <f>SUBTOTAL(9,F9:F12)</f>
        <v>41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5</v>
      </c>
      <c r="B15" s="502" t="str">
        <f>Datos!A15</f>
        <v xml:space="preserve">Jdos. Instrucción                               </v>
      </c>
      <c r="C15" s="225">
        <f t="shared" ref="C15:C17" si="2">IF(ISNUMBER(H15-E15+F15),H15-E15+F15," - ")</f>
        <v>2454</v>
      </c>
      <c r="D15" s="225">
        <f>IF(ISNUMBER(IF(D_I="SI",Datos!I15,Datos!I15+Datos!AC15)),IF(D_I="SI",Datos!I15,Datos!I15+Datos!AC15)," - ")</f>
        <v>2405</v>
      </c>
      <c r="E15" s="226">
        <f>IF(ISNUMBER(IF(D_I="SI",Datos!J15,Datos!J15+Datos!AD15)),IF(D_I="SI",Datos!J15,Datos!J15+Datos!AD15)," - ")</f>
        <v>4900</v>
      </c>
      <c r="F15" s="226">
        <f>IF(ISNUMBER(IF(D_I="SI",Datos!K15,Datos!K15+Datos!AE15)),IF(D_I="SI",Datos!K15,Datos!K15+Datos!AE15)," - ")</f>
        <v>4826</v>
      </c>
      <c r="G15" s="1034" t="str">
        <f>IF(Datos!E15&lt;&gt;"",Datos!E15,Datos!D15)</f>
        <v>03</v>
      </c>
      <c r="H15" s="227">
        <f>IF(ISNUMBER(IF(D_I="SI",Datos!L15,Datos!L15+Datos!AF15)),IF(D_I="SI",Datos!L15,Datos!L15+Datos!AF15)," - ")</f>
        <v>2528</v>
      </c>
      <c r="I15" s="1044" t="str">
        <f>IF(ISNUMBER(Datos!AS15/Datos!BM15),Datos!AS15/Datos!BM15," - ")</f>
        <v xml:space="preserve"> - </v>
      </c>
      <c r="J15" s="1045">
        <f>IF(ISNUMBER(Datos!BY15/Datos!CN15),Datos!BY15/Datos!CN15," - ")</f>
        <v>0</v>
      </c>
      <c r="K15" s="230">
        <f t="shared" ref="K15:K17" si="3">IF(ISNUMBER((E15-F15)/C15),(E15-F15)/C15," - ")</f>
        <v>3.0154849225753871E-2</v>
      </c>
      <c r="L15" s="1025">
        <f>IF(ISNUMBER(NºAsuntos!I15/NºAsuntos!G15),(NºAsuntos!I15/NºAsuntos!G15)*11," - ")</f>
        <v>5.7621218400331538</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2</v>
      </c>
      <c r="B17" s="502" t="str">
        <f>Datos!A17</f>
        <v>Jdos. Violencia contra la mujer</v>
      </c>
      <c r="C17" s="225">
        <f t="shared" si="2"/>
        <v>403</v>
      </c>
      <c r="D17" s="225">
        <f>IF(ISNUMBER(IF(D_I="SI",Datos!I17,Datos!I17+Datos!AC17)),IF(D_I="SI",Datos!I17,Datos!I17+Datos!AC17)," - ")</f>
        <v>403</v>
      </c>
      <c r="E17" s="226">
        <f>IF(ISNUMBER(IF(D_I="SI",Datos!J17,Datos!J17+Datos!AD17)),IF(D_I="SI",Datos!J17,Datos!J17+Datos!AD17)," - ")</f>
        <v>759</v>
      </c>
      <c r="F17" s="226">
        <f>IF(ISNUMBER(IF(D_I="SI",Datos!K17,Datos!K17+Datos!AE17)),IF(D_I="SI",Datos!K17,Datos!K17+Datos!AE17)," - ")</f>
        <v>679</v>
      </c>
      <c r="G17" s="1034" t="str">
        <f>IF(Datos!E17&lt;&gt;"",Datos!E17,Datos!D17)</f>
        <v>37</v>
      </c>
      <c r="H17" s="227">
        <f>IF(ISNUMBER(IF(D_I="SI",Datos!L17,Datos!L17+Datos!AF17)),IF(D_I="SI",Datos!L17,Datos!L17+Datos!AF17)," - ")</f>
        <v>483</v>
      </c>
      <c r="I17" s="1044" t="str">
        <f>IF(ISNUMBER(Datos!AS17/Datos!BM17),Datos!AS17/Datos!BM17," - ")</f>
        <v xml:space="preserve"> - </v>
      </c>
      <c r="J17" s="1045" t="str">
        <f>IF(ISNUMBER((Datos!BY17+Datos!BZ17)/Datos!CN17),(Datos!BY17+Datos!BZ17)/Datos!CN17," - ")</f>
        <v xml:space="preserve"> - </v>
      </c>
      <c r="K17" s="230">
        <f t="shared" si="3"/>
        <v>0.19851116625310175</v>
      </c>
      <c r="L17" s="1025">
        <f>IF(ISNUMBER(NºAsuntos!I17/NºAsuntos!G17),(NºAsuntos!I17/NºAsuntos!G17)*11," - ")</f>
        <v>7.8247422680412377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2857</v>
      </c>
      <c r="D18" s="1049">
        <f>SUBTOTAL(9,D15:D17)</f>
        <v>2808</v>
      </c>
      <c r="E18" s="1050">
        <f>SUBTOTAL(9,E15:E17)</f>
        <v>5659</v>
      </c>
      <c r="F18" s="1050">
        <f>SUBTOTAL(9,F15:F17)</f>
        <v>5505</v>
      </c>
      <c r="G18" s="1052" t="str">
        <f ca="1">INDIRECT(CONCATENATE("G",ROW()-1))</f>
        <v>37</v>
      </c>
      <c r="H18" s="1053">
        <f ca="1">SUMIF(G$14:G17,G18,H$14:H17)</f>
        <v>483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3113</v>
      </c>
      <c r="D19" s="1071">
        <f>SUBTOTAL(9,D9:D18)</f>
        <v>3064</v>
      </c>
      <c r="E19" s="1072">
        <f>SUBTOTAL(9,E9:E18)</f>
        <v>5715</v>
      </c>
      <c r="F19" s="1072">
        <f>SUBTOTAL(9,F9:F18)</f>
        <v>5546</v>
      </c>
      <c r="G19" s="1073"/>
      <c r="H19" s="1074">
        <f ca="1">SUMIF(B9:B18,"TOTAL",H9:H18)</f>
        <v>483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YsiFamRZlexbC/gbnkbvee0VJnW50LZgqg9RAdBTfQg+d29IULPda4djuBit6t8tI8abTI9XwVoz1o65SybHjw==" saltValue="OzEVW2AS2EG7/OF2Ulzvuw=="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h2AvIINjbG2Y5cOwSNnYMCijjn1ZpndAQ0gL7ODwR9wC1hi6WMeDch3qQ/bBS/HwYC4EJ4AxauVZ2MisL3HP3g==" saltValue="jf8g0IO24F2RVHTfC1RMt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v>12782</v>
      </c>
      <c r="J9" s="181">
        <v>9920</v>
      </c>
      <c r="K9" s="181">
        <v>5354</v>
      </c>
      <c r="L9" s="181">
        <v>17362</v>
      </c>
      <c r="M9" s="181">
        <v>1320</v>
      </c>
      <c r="N9" s="181">
        <v>2939</v>
      </c>
      <c r="O9" s="181">
        <v>1511</v>
      </c>
      <c r="P9" s="181">
        <v>965</v>
      </c>
      <c r="Q9" s="181">
        <v>682</v>
      </c>
      <c r="R9" s="181">
        <v>14812</v>
      </c>
      <c r="S9" s="181">
        <v>9651</v>
      </c>
      <c r="T9" s="181">
        <v>5966</v>
      </c>
      <c r="U9" s="181">
        <v>5654</v>
      </c>
      <c r="V9" s="181">
        <v>9965</v>
      </c>
      <c r="W9" s="181">
        <v>998</v>
      </c>
      <c r="X9" s="188">
        <v>3078</v>
      </c>
      <c r="Y9" s="191">
        <v>107</v>
      </c>
      <c r="Z9" s="181">
        <v>82</v>
      </c>
      <c r="AA9" s="181">
        <v>58</v>
      </c>
      <c r="AB9" s="181">
        <v>131</v>
      </c>
      <c r="AC9" s="181">
        <v>0</v>
      </c>
      <c r="AD9" s="181">
        <v>0</v>
      </c>
      <c r="AE9" s="181">
        <v>0</v>
      </c>
      <c r="AF9" s="188">
        <v>0</v>
      </c>
      <c r="AG9" s="191">
        <v>125</v>
      </c>
      <c r="AH9" s="181">
        <v>61</v>
      </c>
      <c r="AI9" s="181">
        <v>68</v>
      </c>
      <c r="AJ9" s="192">
        <v>118</v>
      </c>
      <c r="AK9" s="180">
        <v>0</v>
      </c>
      <c r="AL9" s="181">
        <v>0</v>
      </c>
      <c r="AM9" s="181">
        <v>0</v>
      </c>
      <c r="AN9" s="188">
        <v>0</v>
      </c>
      <c r="AO9" s="258">
        <v>9</v>
      </c>
      <c r="AP9" s="154">
        <v>9</v>
      </c>
      <c r="AQ9" s="154">
        <v>9</v>
      </c>
      <c r="AR9" s="193">
        <v>9</v>
      </c>
      <c r="AS9" s="338" t="s">
        <v>798</v>
      </c>
      <c r="AT9" s="195"/>
      <c r="AU9" s="194"/>
      <c r="AV9" s="195"/>
      <c r="AW9" s="194"/>
      <c r="AX9" s="195"/>
      <c r="AY9" s="123">
        <f>IF(ISNUMBER(IF(J_V="SI",S9,S9+AG9)),IF(J_V="SI",S9,S9+AG9)," - ")</f>
        <v>9776</v>
      </c>
      <c r="AZ9" s="123">
        <f>IF(ISNUMBER(IF(J_V="SI",T9,T9+AH9)),IF(J_V="SI",T9,T9+AH9)," - ")</f>
        <v>6027</v>
      </c>
      <c r="BA9" s="124">
        <f>IF(ISNUMBER(IF(J_V="SI",U9,U9+AI9)),IF(J_V="SI",U9,U9+AI9)," - ")</f>
        <v>5722</v>
      </c>
      <c r="BB9" s="124">
        <f>IF(ISNUMBER(IF(J_V="SI",V9,V9+AJ9)),IF(J_V="SI",V9,V9+AJ9)," - ")</f>
        <v>10083</v>
      </c>
      <c r="BC9" s="125">
        <f>IF(ISNUMBER(X9),X9," - ")</f>
        <v>3078</v>
      </c>
      <c r="BD9" s="126">
        <f>IF(ISNUMBER(BA9/AZ9),BA9/AZ9," - ")</f>
        <v>0.94939439190310271</v>
      </c>
      <c r="BE9" s="127">
        <f>IF(ISNUMBER(BB9/BA9),BB9/BA9, " - ")</f>
        <v>1.7621461027612724</v>
      </c>
      <c r="BF9" s="127">
        <f>IF(ISNUMBER(BC9/BA9),BC9/BA9, " - ")</f>
        <v>0.53792380286613073</v>
      </c>
      <c r="BG9" s="196">
        <f>IF(ISNUMBER((AY9+AZ9)/BA9),(AY9+AZ9)/BA9," - ")</f>
        <v>2.7617965746242574</v>
      </c>
      <c r="BH9" s="154">
        <v>8</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256</v>
      </c>
      <c r="J10" s="181">
        <v>56</v>
      </c>
      <c r="K10" s="181">
        <v>41</v>
      </c>
      <c r="L10" s="181">
        <v>271</v>
      </c>
      <c r="M10" s="181">
        <v>23</v>
      </c>
      <c r="N10" s="181">
        <v>12</v>
      </c>
      <c r="O10" s="181">
        <v>5</v>
      </c>
      <c r="P10" s="181">
        <v>4</v>
      </c>
      <c r="Q10" s="181">
        <v>0</v>
      </c>
      <c r="R10" s="181">
        <v>122</v>
      </c>
      <c r="S10" s="181">
        <v>199</v>
      </c>
      <c r="T10" s="181">
        <v>71</v>
      </c>
      <c r="U10" s="181">
        <v>44</v>
      </c>
      <c r="V10" s="181">
        <v>226</v>
      </c>
      <c r="W10" s="181">
        <v>23</v>
      </c>
      <c r="X10" s="188">
        <v>11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2</v>
      </c>
      <c r="AP10" s="155">
        <v>2</v>
      </c>
      <c r="AQ10" s="154">
        <v>2</v>
      </c>
      <c r="AR10" s="155">
        <v>2</v>
      </c>
      <c r="AS10" s="339" t="s">
        <v>792</v>
      </c>
      <c r="AT10" s="192"/>
      <c r="AU10" s="200"/>
      <c r="AV10" s="192"/>
      <c r="AW10" s="200"/>
      <c r="AX10" s="192"/>
      <c r="AY10" s="128">
        <f t="shared" ref="AY10:BC10" si="0">IF(ISNUMBER(S10),S10," - ")</f>
        <v>199</v>
      </c>
      <c r="AZ10" s="129">
        <f t="shared" si="0"/>
        <v>71</v>
      </c>
      <c r="BA10" s="129">
        <f t="shared" si="0"/>
        <v>44</v>
      </c>
      <c r="BB10" s="129">
        <f t="shared" si="0"/>
        <v>226</v>
      </c>
      <c r="BC10" s="125">
        <f t="shared" si="0"/>
        <v>23</v>
      </c>
      <c r="BD10" s="126">
        <f>IF(ISNUMBER(BA10/AZ10),BA10/AZ10," - ")</f>
        <v>0.61971830985915488</v>
      </c>
      <c r="BE10" s="127">
        <f>IF(ISNUMBER(BB10/BA10),BB10/BA10, " - ")</f>
        <v>5.1363636363636367</v>
      </c>
      <c r="BF10" s="127">
        <f>IF(ISNUMBER(BC10/BA10),BC10/BA10, " - ")</f>
        <v>0.52272727272727271</v>
      </c>
      <c r="BG10" s="196">
        <f>IF(ISNUMBER((AY10+AZ10)/BA10),(AY10+AZ10)/BA10," - ")</f>
        <v>6.1363636363636367</v>
      </c>
      <c r="BH10" s="155">
        <v>2</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674</v>
      </c>
      <c r="J11" s="183">
        <v>361</v>
      </c>
      <c r="K11" s="183">
        <v>341</v>
      </c>
      <c r="L11" s="183">
        <v>628</v>
      </c>
      <c r="M11" s="183">
        <v>188</v>
      </c>
      <c r="N11" s="183">
        <v>218</v>
      </c>
      <c r="O11" s="181">
        <v>86</v>
      </c>
      <c r="P11" s="183">
        <v>42</v>
      </c>
      <c r="Q11" s="183">
        <v>47</v>
      </c>
      <c r="R11" s="183">
        <v>622</v>
      </c>
      <c r="S11" s="183">
        <v>928</v>
      </c>
      <c r="T11" s="183">
        <v>281</v>
      </c>
      <c r="U11" s="183">
        <v>368</v>
      </c>
      <c r="V11" s="183">
        <v>806</v>
      </c>
      <c r="W11" s="183">
        <v>188</v>
      </c>
      <c r="X11" s="189">
        <v>281</v>
      </c>
      <c r="Y11" s="191">
        <v>178</v>
      </c>
      <c r="Z11" s="181">
        <v>131</v>
      </c>
      <c r="AA11" s="181">
        <v>112</v>
      </c>
      <c r="AB11" s="181">
        <v>182</v>
      </c>
      <c r="AC11" s="183">
        <v>0</v>
      </c>
      <c r="AD11" s="183">
        <v>0</v>
      </c>
      <c r="AE11" s="183">
        <v>0</v>
      </c>
      <c r="AF11" s="189">
        <v>0</v>
      </c>
      <c r="AG11" s="202">
        <v>141</v>
      </c>
      <c r="AH11" s="183">
        <v>136</v>
      </c>
      <c r="AI11" s="183">
        <v>131</v>
      </c>
      <c r="AJ11" s="203">
        <v>143</v>
      </c>
      <c r="AK11" s="182">
        <v>0</v>
      </c>
      <c r="AL11" s="183">
        <v>0</v>
      </c>
      <c r="AM11" s="183">
        <v>0</v>
      </c>
      <c r="AN11" s="189">
        <v>0</v>
      </c>
      <c r="AO11" s="259">
        <v>2</v>
      </c>
      <c r="AP11" s="155">
        <v>2</v>
      </c>
      <c r="AQ11" s="155">
        <v>2</v>
      </c>
      <c r="AR11" s="154">
        <v>2</v>
      </c>
      <c r="AS11" s="340" t="s">
        <v>800</v>
      </c>
      <c r="AT11" s="203"/>
      <c r="AU11" s="202"/>
      <c r="AV11" s="203"/>
      <c r="AW11" s="202"/>
      <c r="AX11" s="203"/>
      <c r="AY11" s="126">
        <f t="shared" ref="AY11:BB12" si="1">IF(ISNUMBER(IF(J_V="SI",S11,S11+AG11)),IF(J_V="SI",S11,S11+AG11)," - ")</f>
        <v>1069</v>
      </c>
      <c r="AZ11" s="127">
        <f t="shared" si="1"/>
        <v>417</v>
      </c>
      <c r="BA11" s="127">
        <f t="shared" si="1"/>
        <v>499</v>
      </c>
      <c r="BB11" s="127">
        <f t="shared" si="1"/>
        <v>949</v>
      </c>
      <c r="BC11" s="125">
        <f>IF(ISNUMBER(X11),X11," - ")</f>
        <v>281</v>
      </c>
      <c r="BD11" s="126">
        <f t="shared" ref="BD11:BD12" si="2">IF(ISNUMBER(BA11/AZ11),BA11/AZ11," - ")</f>
        <v>1.1966426858513191</v>
      </c>
      <c r="BE11" s="127">
        <f t="shared" ref="BE11:BE12" si="3">IF(ISNUMBER(BB11/BA11),BB11/BA11, " - ")</f>
        <v>1.9018036072144289</v>
      </c>
      <c r="BF11" s="127">
        <f t="shared" ref="BF11:BF12" si="4">IF(ISNUMBER(BC11/BA11),BC11/BA11, " - ")</f>
        <v>0.56312625250501003</v>
      </c>
      <c r="BG11" s="196">
        <f t="shared" ref="BG11:BG12" si="5">IF(ISNUMBER((AY11+AZ11)/BA11),(AY11+AZ11)/BA11," - ")</f>
        <v>2.9779559118236474</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805</v>
      </c>
      <c r="J12" s="183" t="s">
        <v>799</v>
      </c>
      <c r="K12" s="183" t="s">
        <v>848</v>
      </c>
      <c r="L12" s="183" t="s">
        <v>810</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801</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13712</v>
      </c>
      <c r="J13" s="184">
        <f t="shared" si="6"/>
        <v>10337</v>
      </c>
      <c r="K13" s="184">
        <f t="shared" si="6"/>
        <v>5736</v>
      </c>
      <c r="L13" s="184">
        <f t="shared" si="6"/>
        <v>18261</v>
      </c>
      <c r="M13" s="184">
        <f t="shared" si="6"/>
        <v>1531</v>
      </c>
      <c r="N13" s="184">
        <f t="shared" si="6"/>
        <v>3169</v>
      </c>
      <c r="O13" s="184">
        <f t="shared" si="6"/>
        <v>1602</v>
      </c>
      <c r="P13" s="184">
        <f t="shared" si="6"/>
        <v>1011</v>
      </c>
      <c r="Q13" s="184">
        <f t="shared" si="6"/>
        <v>729</v>
      </c>
      <c r="R13" s="184">
        <f t="shared" si="6"/>
        <v>15556</v>
      </c>
      <c r="S13" s="184">
        <f t="shared" si="6"/>
        <v>10778</v>
      </c>
      <c r="T13" s="184">
        <f t="shared" si="6"/>
        <v>6318</v>
      </c>
      <c r="U13" s="184">
        <f t="shared" si="6"/>
        <v>6066</v>
      </c>
      <c r="V13" s="184">
        <f t="shared" si="6"/>
        <v>10997</v>
      </c>
      <c r="W13" s="184">
        <f t="shared" si="6"/>
        <v>1209</v>
      </c>
      <c r="X13" s="184">
        <f t="shared" si="6"/>
        <v>3370</v>
      </c>
      <c r="Y13" s="184">
        <f t="shared" si="6"/>
        <v>285</v>
      </c>
      <c r="Z13" s="184">
        <f t="shared" si="6"/>
        <v>213</v>
      </c>
      <c r="AA13" s="184">
        <f t="shared" si="6"/>
        <v>170</v>
      </c>
      <c r="AB13" s="184">
        <f t="shared" si="6"/>
        <v>313</v>
      </c>
      <c r="AC13" s="184">
        <f t="shared" si="6"/>
        <v>0</v>
      </c>
      <c r="AD13" s="184">
        <f t="shared" si="6"/>
        <v>0</v>
      </c>
      <c r="AE13" s="184">
        <f t="shared" si="6"/>
        <v>0</v>
      </c>
      <c r="AF13" s="184">
        <f>SUBTOTAL(9,AF9:AF12)</f>
        <v>0</v>
      </c>
      <c r="AG13" s="184">
        <f t="shared" ref="AG13:AT13" si="7">SUBTOTAL(9,AG8:AG12)</f>
        <v>266</v>
      </c>
      <c r="AH13" s="184">
        <f t="shared" si="7"/>
        <v>197</v>
      </c>
      <c r="AI13" s="184">
        <f t="shared" si="7"/>
        <v>199</v>
      </c>
      <c r="AJ13" s="184">
        <f t="shared" si="7"/>
        <v>261</v>
      </c>
      <c r="AK13" s="184">
        <f t="shared" si="7"/>
        <v>0</v>
      </c>
      <c r="AL13" s="184">
        <f t="shared" si="7"/>
        <v>0</v>
      </c>
      <c r="AM13" s="184">
        <f t="shared" si="7"/>
        <v>0</v>
      </c>
      <c r="AN13" s="184">
        <f t="shared" si="7"/>
        <v>0</v>
      </c>
      <c r="AO13" s="184">
        <f t="shared" si="7"/>
        <v>13</v>
      </c>
      <c r="AP13" s="184">
        <f t="shared" si="7"/>
        <v>13</v>
      </c>
      <c r="AQ13" s="184">
        <f t="shared" si="7"/>
        <v>13</v>
      </c>
      <c r="AR13" s="184">
        <f t="shared" si="7"/>
        <v>13</v>
      </c>
      <c r="AS13" s="184">
        <f t="shared" si="7"/>
        <v>0</v>
      </c>
      <c r="AT13" s="184">
        <f t="shared" si="7"/>
        <v>0</v>
      </c>
      <c r="AU13" s="204"/>
      <c r="AV13" s="132"/>
      <c r="AW13" s="204"/>
      <c r="AX13" s="132"/>
      <c r="AY13" s="184">
        <f>SUBTOTAL(9,AY8:AY12)</f>
        <v>11044</v>
      </c>
      <c r="AZ13" s="184">
        <f>SUBTOTAL(9,AZ8:AZ12)</f>
        <v>6515</v>
      </c>
      <c r="BA13" s="184">
        <f>SUBTOTAL(9,BA8:BA12)</f>
        <v>6265</v>
      </c>
      <c r="BB13" s="184">
        <f>SUBTOTAL(9,BB8:BB12)</f>
        <v>11258</v>
      </c>
      <c r="BC13" s="184">
        <f>SUBTOTAL(9,BC8:BC12)</f>
        <v>3382</v>
      </c>
      <c r="BD13" s="205">
        <f>IF(ISNUMBER(BA13/AZ13),BA13/AZ13," - ")</f>
        <v>0.9616270145817345</v>
      </c>
      <c r="BE13" s="206">
        <f>IF(ISNUMBER(BB13/BA13),BB13/BA13, " - ")</f>
        <v>1.7969672785315243</v>
      </c>
      <c r="BF13" s="206">
        <f>IF(ISNUMBER(BC13/BA13),BC13/BA13, " - ")</f>
        <v>0.53982442138866715</v>
      </c>
      <c r="BG13" s="207">
        <f>IF(ISNUMBER((AY13+AZ13)/BA13),(AY13+AZ13)/BA13," - ")</f>
        <v>2.8027134876296889</v>
      </c>
      <c r="BH13" s="140">
        <f>SUBTOTAL(9,BH8:BH12)</f>
        <v>12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2405</v>
      </c>
      <c r="J15" s="183">
        <v>4900</v>
      </c>
      <c r="K15" s="183">
        <v>4826</v>
      </c>
      <c r="L15" s="183">
        <v>2528</v>
      </c>
      <c r="M15" s="183">
        <v>493</v>
      </c>
      <c r="N15" s="183">
        <v>3471</v>
      </c>
      <c r="O15" s="181">
        <v>92</v>
      </c>
      <c r="P15" s="183">
        <v>211</v>
      </c>
      <c r="Q15" s="183">
        <v>172</v>
      </c>
      <c r="R15" s="183">
        <v>515</v>
      </c>
      <c r="S15" s="183">
        <v>2254</v>
      </c>
      <c r="T15" s="183">
        <v>4582</v>
      </c>
      <c r="U15" s="183">
        <v>4552</v>
      </c>
      <c r="V15" s="183">
        <v>2328</v>
      </c>
      <c r="W15" s="183">
        <v>553</v>
      </c>
      <c r="X15" s="189">
        <v>3272</v>
      </c>
      <c r="Y15" s="202">
        <v>0</v>
      </c>
      <c r="Z15" s="183">
        <v>0</v>
      </c>
      <c r="AA15" s="183">
        <v>0</v>
      </c>
      <c r="AB15" s="183">
        <v>0</v>
      </c>
      <c r="AC15" s="183">
        <v>0</v>
      </c>
      <c r="AD15" s="183">
        <v>9</v>
      </c>
      <c r="AE15" s="183">
        <v>9</v>
      </c>
      <c r="AF15" s="189">
        <v>0</v>
      </c>
      <c r="AG15" s="202">
        <v>0</v>
      </c>
      <c r="AH15" s="183">
        <v>0</v>
      </c>
      <c r="AI15" s="183">
        <v>0</v>
      </c>
      <c r="AJ15" s="203">
        <v>0</v>
      </c>
      <c r="AK15" s="182">
        <v>0</v>
      </c>
      <c r="AL15" s="183">
        <v>4</v>
      </c>
      <c r="AM15" s="183">
        <v>4</v>
      </c>
      <c r="AN15" s="189">
        <v>0</v>
      </c>
      <c r="AO15" s="259">
        <v>5</v>
      </c>
      <c r="AP15" s="155">
        <v>5</v>
      </c>
      <c r="AQ15" s="155">
        <v>5</v>
      </c>
      <c r="AR15" s="155">
        <v>5</v>
      </c>
      <c r="AS15" s="340" t="s">
        <v>526</v>
      </c>
      <c r="AT15" s="203" t="s">
        <v>326</v>
      </c>
      <c r="AU15" s="202"/>
      <c r="AV15" s="203"/>
      <c r="AW15" s="202"/>
      <c r="AX15" s="203"/>
      <c r="AY15" s="128">
        <f t="shared" ref="AY15:BB16" si="9">IF(ISNUMBER(IF(D_I="SI",S15,S15+AK15)),IF(D_I="SI",S15,S15+AK15)," - ")</f>
        <v>2254</v>
      </c>
      <c r="AZ15" s="129">
        <f t="shared" si="9"/>
        <v>4582</v>
      </c>
      <c r="BA15" s="129">
        <f t="shared" si="9"/>
        <v>4552</v>
      </c>
      <c r="BB15" s="129">
        <f t="shared" si="9"/>
        <v>2328</v>
      </c>
      <c r="BC15" s="125">
        <f>IF(ISNUMBER(W15),W15," - ")</f>
        <v>553</v>
      </c>
      <c r="BD15" s="126">
        <f>IF(ISNUMBER(BA15/AZ15),BA15/AZ15," - ")</f>
        <v>0.99345264076822348</v>
      </c>
      <c r="BE15" s="127">
        <f>IF(ISNUMBER(BB15/BA15),BB15/BA15, " - ")</f>
        <v>0.51142355008787344</v>
      </c>
      <c r="BF15" s="127">
        <f>IF(ISNUMBER(BC15/BA15),BC15/BA15, " - ")</f>
        <v>0.12148506151142355</v>
      </c>
      <c r="BG15" s="196">
        <f t="shared" ref="BG15:BG16" si="10">IF(ISNUMBER((AY15+AZ15)/BA15),(AY15+AZ15)/BA15," - ")</f>
        <v>1.5017574692442883</v>
      </c>
      <c r="BH15" s="155">
        <v>5</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403</v>
      </c>
      <c r="J17" s="183">
        <v>759</v>
      </c>
      <c r="K17" s="183">
        <v>679</v>
      </c>
      <c r="L17" s="183">
        <v>483</v>
      </c>
      <c r="M17" s="183">
        <v>118</v>
      </c>
      <c r="N17" s="183">
        <v>384</v>
      </c>
      <c r="O17" s="183">
        <v>2</v>
      </c>
      <c r="P17" s="183">
        <v>11</v>
      </c>
      <c r="Q17" s="183">
        <v>10</v>
      </c>
      <c r="R17" s="183">
        <v>19</v>
      </c>
      <c r="S17" s="183">
        <v>405</v>
      </c>
      <c r="T17" s="183">
        <v>611</v>
      </c>
      <c r="U17" s="183">
        <v>623</v>
      </c>
      <c r="V17" s="183">
        <v>393</v>
      </c>
      <c r="W17" s="183">
        <v>117</v>
      </c>
      <c r="X17" s="189">
        <v>362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2</v>
      </c>
      <c r="AP17" s="155">
        <v>2</v>
      </c>
      <c r="AQ17" s="154">
        <v>2</v>
      </c>
      <c r="AR17" s="155">
        <v>2</v>
      </c>
      <c r="AS17" s="339" t="s">
        <v>791</v>
      </c>
      <c r="AT17" s="209"/>
      <c r="AU17" s="200"/>
      <c r="AV17" s="209"/>
      <c r="AW17" s="200"/>
      <c r="AX17" s="209"/>
      <c r="AY17" s="128">
        <f t="shared" ref="AY17:BB17" si="14">IF(ISNUMBER(S17),S17," - ")</f>
        <v>405</v>
      </c>
      <c r="AZ17" s="129">
        <f t="shared" si="14"/>
        <v>611</v>
      </c>
      <c r="BA17" s="129">
        <f t="shared" si="14"/>
        <v>623</v>
      </c>
      <c r="BB17" s="129">
        <f t="shared" si="14"/>
        <v>393</v>
      </c>
      <c r="BC17" s="125">
        <f>IF(ISNUMBER(W17),W17," - ")</f>
        <v>117</v>
      </c>
      <c r="BD17" s="126">
        <f>IF(ISNUMBER(BA17/AZ17),BA17/AZ17," - ")</f>
        <v>1.0196399345335516</v>
      </c>
      <c r="BE17" s="127">
        <f>IF(ISNUMBER(BB17/BA17),BB17/BA17, " - ")</f>
        <v>0.6308186195826645</v>
      </c>
      <c r="BF17" s="127">
        <f>IF(ISNUMBER(BC17/BA17),BC17/BA17, " - ")</f>
        <v>0.18780096308186195</v>
      </c>
      <c r="BG17" s="196">
        <f>IF(ISNUMBER((AY17+AZ17)/BA17),(AY17+AZ17)/BA17," - ")</f>
        <v>1.6308186195826646</v>
      </c>
      <c r="BH17" s="155">
        <v>2</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2808</v>
      </c>
      <c r="J18" s="184">
        <f t="shared" si="15"/>
        <v>5659</v>
      </c>
      <c r="K18" s="184">
        <f t="shared" si="15"/>
        <v>5505</v>
      </c>
      <c r="L18" s="184">
        <f t="shared" si="15"/>
        <v>3011</v>
      </c>
      <c r="M18" s="184">
        <f t="shared" si="15"/>
        <v>611</v>
      </c>
      <c r="N18" s="184">
        <f t="shared" si="15"/>
        <v>3855</v>
      </c>
      <c r="O18" s="184">
        <f t="shared" si="15"/>
        <v>94</v>
      </c>
      <c r="P18" s="184">
        <f t="shared" si="15"/>
        <v>222</v>
      </c>
      <c r="Q18" s="184">
        <f t="shared" si="15"/>
        <v>182</v>
      </c>
      <c r="R18" s="184">
        <f t="shared" si="15"/>
        <v>534</v>
      </c>
      <c r="S18" s="184">
        <f t="shared" si="15"/>
        <v>2659</v>
      </c>
      <c r="T18" s="184">
        <f t="shared" si="15"/>
        <v>5193</v>
      </c>
      <c r="U18" s="184">
        <f t="shared" si="15"/>
        <v>5175</v>
      </c>
      <c r="V18" s="184">
        <f t="shared" si="15"/>
        <v>2721</v>
      </c>
      <c r="W18" s="184">
        <f t="shared" si="15"/>
        <v>670</v>
      </c>
      <c r="X18" s="184">
        <f t="shared" si="15"/>
        <v>3634</v>
      </c>
      <c r="Y18" s="184">
        <f t="shared" si="15"/>
        <v>0</v>
      </c>
      <c r="Z18" s="184">
        <f t="shared" si="15"/>
        <v>0</v>
      </c>
      <c r="AA18" s="184">
        <f t="shared" si="15"/>
        <v>0</v>
      </c>
      <c r="AB18" s="184">
        <f t="shared" si="15"/>
        <v>0</v>
      </c>
      <c r="AC18" s="184">
        <f t="shared" si="15"/>
        <v>0</v>
      </c>
      <c r="AD18" s="184">
        <f t="shared" si="15"/>
        <v>9</v>
      </c>
      <c r="AE18" s="184">
        <f t="shared" si="15"/>
        <v>9</v>
      </c>
      <c r="AF18" s="184">
        <f t="shared" si="15"/>
        <v>0</v>
      </c>
      <c r="AG18" s="184">
        <f t="shared" si="15"/>
        <v>0</v>
      </c>
      <c r="AH18" s="184">
        <f t="shared" si="15"/>
        <v>0</v>
      </c>
      <c r="AI18" s="184">
        <f t="shared" si="15"/>
        <v>0</v>
      </c>
      <c r="AJ18" s="184">
        <f t="shared" si="15"/>
        <v>0</v>
      </c>
      <c r="AK18" s="184">
        <f t="shared" si="15"/>
        <v>0</v>
      </c>
      <c r="AL18" s="184">
        <f t="shared" si="15"/>
        <v>4</v>
      </c>
      <c r="AM18" s="184">
        <f t="shared" si="15"/>
        <v>4</v>
      </c>
      <c r="AN18" s="184">
        <f t="shared" si="15"/>
        <v>0</v>
      </c>
      <c r="AO18" s="184">
        <f t="shared" si="15"/>
        <v>7</v>
      </c>
      <c r="AP18" s="184">
        <f t="shared" si="15"/>
        <v>7</v>
      </c>
      <c r="AQ18" s="184">
        <f t="shared" si="15"/>
        <v>7</v>
      </c>
      <c r="AR18" s="184">
        <f t="shared" si="15"/>
        <v>7</v>
      </c>
      <c r="AS18" s="184">
        <f t="shared" si="15"/>
        <v>0</v>
      </c>
      <c r="AT18" s="184">
        <f t="shared" si="15"/>
        <v>0</v>
      </c>
      <c r="AU18" s="204"/>
      <c r="AV18" s="132"/>
      <c r="AW18" s="204"/>
      <c r="AX18" s="132"/>
      <c r="AY18" s="184">
        <f>SUBTOTAL(9,AY14:AY17)</f>
        <v>2659</v>
      </c>
      <c r="AZ18" s="184">
        <f>SUBTOTAL(9,AZ14:AZ17)</f>
        <v>5193</v>
      </c>
      <c r="BA18" s="184">
        <f>SUBTOTAL(9,BA14:BA17)</f>
        <v>5175</v>
      </c>
      <c r="BB18" s="184">
        <f>SUBTOTAL(9,BB14:BB17)</f>
        <v>2721</v>
      </c>
      <c r="BC18" s="184">
        <f>SUBTOTAL(9,BC14:BC17)</f>
        <v>670</v>
      </c>
      <c r="BD18" s="205">
        <f>IF(ISNUMBER(BA18/AZ18),BA18/AZ18," - ")</f>
        <v>0.99653379549393417</v>
      </c>
      <c r="BE18" s="206">
        <f>IF(ISNUMBER(BB18/BA18),BB18/BA18, " - ")</f>
        <v>0.52579710144927538</v>
      </c>
      <c r="BF18" s="206">
        <f>IF(ISNUMBER(BC18/BA18),BC18/BA18, " - ")</f>
        <v>0.12946859903381641</v>
      </c>
      <c r="BG18" s="207">
        <f>IF(ISNUMBER((AY18+AZ18)/BA18),(AY18+AZ18)/BA18," - ")</f>
        <v>1.5172946859903382</v>
      </c>
      <c r="BH18" s="184">
        <f>SUBTOTAL(9,BH14:BH17)</f>
        <v>7</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16520</v>
      </c>
      <c r="J19" s="134">
        <f t="shared" si="18"/>
        <v>15996</v>
      </c>
      <c r="K19" s="134">
        <f t="shared" si="18"/>
        <v>11241</v>
      </c>
      <c r="L19" s="134">
        <f t="shared" si="18"/>
        <v>21272</v>
      </c>
      <c r="M19" s="134">
        <f t="shared" si="18"/>
        <v>2142</v>
      </c>
      <c r="N19" s="134">
        <f t="shared" si="18"/>
        <v>7024</v>
      </c>
      <c r="O19" s="134">
        <f t="shared" si="18"/>
        <v>1696</v>
      </c>
      <c r="P19" s="134">
        <f t="shared" si="18"/>
        <v>1233</v>
      </c>
      <c r="Q19" s="134">
        <f t="shared" si="18"/>
        <v>911</v>
      </c>
      <c r="R19" s="134">
        <f t="shared" si="18"/>
        <v>16090</v>
      </c>
      <c r="S19" s="134">
        <f t="shared" si="18"/>
        <v>13437</v>
      </c>
      <c r="T19" s="134">
        <f t="shared" si="18"/>
        <v>11511</v>
      </c>
      <c r="U19" s="134">
        <f t="shared" si="18"/>
        <v>11241</v>
      </c>
      <c r="V19" s="134">
        <f t="shared" si="18"/>
        <v>13718</v>
      </c>
      <c r="W19" s="134">
        <f t="shared" si="18"/>
        <v>1879</v>
      </c>
      <c r="X19" s="134">
        <f t="shared" si="18"/>
        <v>7004</v>
      </c>
      <c r="Y19" s="134">
        <f t="shared" si="18"/>
        <v>285</v>
      </c>
      <c r="Z19" s="134">
        <f t="shared" si="18"/>
        <v>213</v>
      </c>
      <c r="AA19" s="134">
        <f t="shared" si="18"/>
        <v>170</v>
      </c>
      <c r="AB19" s="134">
        <f t="shared" si="18"/>
        <v>313</v>
      </c>
      <c r="AC19" s="134">
        <f t="shared" si="18"/>
        <v>0</v>
      </c>
      <c r="AD19" s="134">
        <f t="shared" si="18"/>
        <v>9</v>
      </c>
      <c r="AE19" s="134">
        <f t="shared" si="18"/>
        <v>9</v>
      </c>
      <c r="AF19" s="134">
        <f t="shared" si="18"/>
        <v>0</v>
      </c>
      <c r="AG19" s="134">
        <f t="shared" si="18"/>
        <v>266</v>
      </c>
      <c r="AH19" s="134">
        <f t="shared" si="18"/>
        <v>197</v>
      </c>
      <c r="AI19" s="134">
        <f t="shared" si="18"/>
        <v>199</v>
      </c>
      <c r="AJ19" s="134">
        <f t="shared" si="18"/>
        <v>261</v>
      </c>
      <c r="AK19" s="134">
        <f t="shared" si="18"/>
        <v>0</v>
      </c>
      <c r="AL19" s="134">
        <f t="shared" si="18"/>
        <v>4</v>
      </c>
      <c r="AM19" s="134">
        <f t="shared" si="18"/>
        <v>4</v>
      </c>
      <c r="AN19" s="210">
        <f t="shared" si="18"/>
        <v>0</v>
      </c>
      <c r="AO19" s="211">
        <v>18</v>
      </c>
      <c r="AP19" s="211">
        <v>18</v>
      </c>
      <c r="AQ19" s="211">
        <v>18</v>
      </c>
      <c r="AR19" s="211">
        <v>18</v>
      </c>
      <c r="AS19" s="153">
        <f t="shared" si="18"/>
        <v>0</v>
      </c>
      <c r="AT19" s="153">
        <f t="shared" si="18"/>
        <v>0</v>
      </c>
      <c r="AU19" s="211"/>
      <c r="AV19" s="212"/>
      <c r="AW19" s="211"/>
      <c r="AX19" s="212"/>
      <c r="AY19" s="133">
        <f>SUBTOTAL(9,AY9:AY18)</f>
        <v>13703</v>
      </c>
      <c r="AZ19" s="134">
        <f>SUBTOTAL(9,AZ9:AZ18)</f>
        <v>11708</v>
      </c>
      <c r="BA19" s="134">
        <f>SUBTOTAL(9,BA9:BA18)</f>
        <v>11440</v>
      </c>
      <c r="BB19" s="134">
        <f>SUBTOTAL(9,BB9:BB18)</f>
        <v>13979</v>
      </c>
      <c r="BC19" s="135">
        <f>SUBTOTAL(9,BC9:BC18)</f>
        <v>4052</v>
      </c>
      <c r="BD19" s="213">
        <f>IF(ISNUMBER(BA19/AZ19),BA19/AZ19," - ")</f>
        <v>0.97710966860266479</v>
      </c>
      <c r="BE19" s="210">
        <f>IF(ISNUMBER(BB19/BA19),BB19/BA19, " - ")</f>
        <v>1.2219405594405595</v>
      </c>
      <c r="BF19" s="210">
        <f>IF(ISNUMBER(BC19/BA19),BC19/BA19, " - ")</f>
        <v>0.35419580419580421</v>
      </c>
      <c r="BG19" s="135">
        <f>IF(ISNUMBER((AY19+AZ19)/BA19),(AY19+AZ19)/BA19," - ")</f>
        <v>2.2212412587412587</v>
      </c>
      <c r="BH19" s="211">
        <f>SUBTOTAL(9,BH9:BH18)</f>
        <v>19</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0joObD7oJiaYAgQl/NMwF5z2I6X5SPLPclKphUUuPkSNtY+KZJIIFtgHU/QRtCTVltp/uyeFKOKDkAr5O0VXqg==" saltValue="LxoMHVk/rOSMfmnNyBaVng=="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zOp0J9C33meTYA8DIN4z2UyzRepkFe5xB1wAPqGDQmjsOSPqv4zrTYsWGZB+V/Ua2/r02UvVfLyCNkPx5YNg==" saltValue="+Y7+EBr9uyOQ9B51nUfZRw=="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CANARIAS</v>
      </c>
    </row>
    <row r="2" spans="1:78" ht="16.5" customHeight="1">
      <c r="C2" s="488" t="str">
        <f>Criterios!A10 &amp;"  "&amp;Criterios!B10 &amp; "  " &amp; IF(NOT(ISBLANK(Criterios!A11)),Criterios!A11 &amp;"  "&amp;Criterios!B11,"")</f>
        <v>Provincias  SANTA CRUZ DE TENERIFE  Resumenes por Partidos Judiciales  SANTA CRUZ DE TENERIFE</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9</v>
      </c>
      <c r="B9" s="501" t="s">
        <v>246</v>
      </c>
      <c r="C9" s="160" t="str">
        <f>Datos!A9</f>
        <v xml:space="preserve">Jdos. 1ª Instancia   </v>
      </c>
      <c r="D9" s="502"/>
      <c r="E9" s="260">
        <f>IF(ISNUMBER(Datos!AQ9),Datos!AQ9," - ")</f>
        <v>9</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82</v>
      </c>
      <c r="O9" s="334"/>
      <c r="P9" s="334"/>
      <c r="Q9" s="226">
        <f>IF(ISNUMBER(Datos!P9),Datos!P9,0)</f>
        <v>965</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682</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131</v>
      </c>
      <c r="AI9" s="334" t="str">
        <f>IF(ISNUMBER(Datos!CD9),Datos!CD9,"-")</f>
        <v>-</v>
      </c>
      <c r="AJ9" s="334" t="str">
        <f>IF(ISNUMBER(Datos!EN9),Datos!EN9," - ")</f>
        <v xml:space="preserve"> - </v>
      </c>
      <c r="AK9" s="334"/>
      <c r="AL9" s="479"/>
      <c r="AM9" s="335">
        <f>IF(ISNUMBER(Datos!R9),Datos!R9," - ")</f>
        <v>14812</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1320</v>
      </c>
      <c r="BD9" s="229">
        <f>IF(ISNUMBER(Datos!N9),Datos!N9," - ")</f>
        <v>2939</v>
      </c>
      <c r="BE9" s="229" t="str">
        <f>IF(ISNUMBER(Datos!BW9),Datos!BW9," - ")</f>
        <v xml:space="preserve"> - </v>
      </c>
      <c r="BF9" s="228" t="str">
        <f>IF(ISNUMBER(Datos!BX9),Datos!BX9," - ")</f>
        <v xml:space="preserve"> - </v>
      </c>
      <c r="BG9" s="243">
        <f>IF(ISNUMBER(IF(J_V="SI",Datos!K9/Datos!J9,(Datos!K9+Datos!AA9)/(Datos!J9+Datos!Z9))),IF(J_V="SI",Datos!K9/Datos!J9,(Datos!K9+Datos!AA9)/(Datos!J9+Datos!Z9))," - ")</f>
        <v>0.54109178164367122</v>
      </c>
      <c r="BH9" s="260">
        <f>IF(ISNUMBER(((IF(J_V="SI",Datos!L9/Datos!K9,(Datos!L9+Datos!AB9)/(Datos!K9+Datos!AA9)))*11)/factor_trimestre),((IF(J_V="SI",Datos!L9/Datos!K9,(Datos!L9+Datos!AB9)/(Datos!K9+Datos!AA9)))*11)/factor_trimestre," - ")</f>
        <v>9.6967849223946789</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1.9478284809690962E-2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2</v>
      </c>
      <c r="B10" s="507" t="s">
        <v>246</v>
      </c>
      <c r="C10" s="7" t="str">
        <f>Datos!A10</f>
        <v>Jdos. Violencia contra la mujer</v>
      </c>
      <c r="D10" s="508"/>
      <c r="E10" s="260">
        <f>IF(ISNUMBER(Datos!AQ10),Datos!AQ10," - ")</f>
        <v>2</v>
      </c>
      <c r="F10" s="225">
        <f>IF(ISNUMBER(Datos!L10+Datos!K10-Datos!J10),Datos!L10+Datos!K10-Datos!J10," - ")</f>
        <v>256</v>
      </c>
      <c r="G10" s="333">
        <f>IF(ISNUMBER(Datos!I10),Datos!I10," - ")</f>
        <v>256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4</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41</v>
      </c>
      <c r="AC10" s="226">
        <f>IF(ISNUMBER(Datos!Q10),Datos!Q10," - ")</f>
        <v>0</v>
      </c>
      <c r="AD10" s="334"/>
      <c r="AE10" s="484"/>
      <c r="AF10" s="332">
        <f>IF(ISNUMBER(Datos!L10),Datos!L10,"-")</f>
        <v>271</v>
      </c>
      <c r="AG10" s="334"/>
      <c r="AH10" s="334"/>
      <c r="AI10" s="334"/>
      <c r="AJ10" s="334"/>
      <c r="AK10" s="334"/>
      <c r="AL10" s="479"/>
      <c r="AM10" s="335">
        <f>IF(ISNUMBER(Datos!R10),Datos!R10," - ")</f>
        <v>122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23</v>
      </c>
      <c r="BD10" s="229">
        <f>IF(ISNUMBER(Datos!N10),Datos!N10," - ")</f>
        <v>12</v>
      </c>
      <c r="BE10" s="229" t="str">
        <f>IF(ISNUMBER(Datos!BW10),Datos!BW10," - ")</f>
        <v xml:space="preserve"> - </v>
      </c>
      <c r="BF10" s="228" t="str">
        <f>IF(ISNUMBER(Datos!BX10),Datos!BX10," - ")</f>
        <v xml:space="preserve"> - </v>
      </c>
      <c r="BG10" s="243">
        <f>IF(ISNUMBER(Datos!K10/Datos!J10),Datos!K10/Datos!J10," - ")</f>
        <v>0.7321428571428571</v>
      </c>
      <c r="BH10" s="260">
        <f>IF(ISNUMBER(((Datos!L10/Datos!K10)*11)/factor_trimestre),((Datos!L10/Datos!K10)*11)/factor_trimestre," - ")</f>
        <v>19.829268292682926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3.3898305084745763E-2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131</v>
      </c>
      <c r="O11" s="334"/>
      <c r="P11" s="334"/>
      <c r="Q11" s="226">
        <f>IF(ISNUMBER(Datos!P11),Datos!P11,0)</f>
        <v>42</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47</v>
      </c>
      <c r="AD11" s="334"/>
      <c r="AE11" s="484"/>
      <c r="AF11" s="332" t="str">
        <f>IF(ISNUMBER(IF(J_V="SI",Datos!L11,Datos!L11+Datos!AB11)-IF(Monitorios="SI",Datos!CD11,0)),
                          IF(J_V="SI",Datos!L11,Datos!L11+Datos!AB11)-IF(Monitorios="SI",Datos!CD11,0),
                          " - ")</f>
        <v xml:space="preserve"> - </v>
      </c>
      <c r="AG11" s="334"/>
      <c r="AH11" s="334">
        <f>IF(ISNUMBER(Datos!AB11),Datos!AB11,"-")</f>
        <v>182</v>
      </c>
      <c r="AI11" s="334"/>
      <c r="AJ11" s="334"/>
      <c r="AK11" s="334"/>
      <c r="AL11" s="479"/>
      <c r="AM11" s="335">
        <f>IF(ISNUMBER(Datos!R11),Datos!R11," - ")</f>
        <v>622</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188</v>
      </c>
      <c r="BD11" s="229">
        <f>IF(ISNUMBER(Datos!N11),Datos!N11," - ")</f>
        <v>218</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0.92073170731707321</v>
      </c>
      <c r="BH11" s="260">
        <f>IF(ISNUMBER(((IF(J_V="SI",Datos!L11/Datos!K11,(Datos!L11+Datos!AB11)/(Datos!K11+Datos!AA11)))*11)/factor_trimestre),((IF(J_V="SI",Datos!L11/Datos!K11,(Datos!L11+Datos!AB11)/(Datos!K11+Datos!AA11)))*11)/factor_trimestre," - ")</f>
        <v>5.3642384105960268</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-7.9744816586921844E-3</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13</v>
      </c>
      <c r="F13" s="898">
        <f t="shared" si="0"/>
        <v>256</v>
      </c>
      <c r="G13" s="898">
        <f t="shared" si="0"/>
        <v>256</v>
      </c>
      <c r="H13" s="899">
        <f t="shared" si="0"/>
        <v>0</v>
      </c>
      <c r="I13" s="898">
        <f t="shared" si="0"/>
        <v>0</v>
      </c>
      <c r="J13" s="867">
        <f t="shared" si="0"/>
        <v>0</v>
      </c>
      <c r="K13" s="867">
        <f t="shared" si="0"/>
        <v>0</v>
      </c>
      <c r="L13" s="899">
        <f t="shared" si="0"/>
        <v>0</v>
      </c>
      <c r="M13" s="899">
        <f t="shared" si="0"/>
        <v>0</v>
      </c>
      <c r="N13" s="899">
        <f t="shared" si="0"/>
        <v>213</v>
      </c>
      <c r="O13" s="900">
        <f t="shared" si="0"/>
        <v>0</v>
      </c>
      <c r="P13" s="900">
        <f t="shared" si="0"/>
        <v>0</v>
      </c>
      <c r="Q13" s="899">
        <f t="shared" si="0"/>
        <v>1011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41</v>
      </c>
      <c r="AC13" s="899">
        <f t="shared" si="1"/>
        <v>729</v>
      </c>
      <c r="AD13" s="899">
        <f t="shared" si="1"/>
        <v>0</v>
      </c>
      <c r="AE13" s="899">
        <f t="shared" si="1"/>
        <v>0</v>
      </c>
      <c r="AF13" s="899">
        <f t="shared" si="1"/>
        <v>271</v>
      </c>
      <c r="AG13" s="899">
        <f t="shared" si="1"/>
        <v>0</v>
      </c>
      <c r="AH13" s="899">
        <f t="shared" si="1"/>
        <v>313</v>
      </c>
      <c r="AI13" s="899">
        <f t="shared" si="1"/>
        <v>0</v>
      </c>
      <c r="AJ13" s="899">
        <f t="shared" si="1"/>
        <v>0</v>
      </c>
      <c r="AK13" s="899">
        <f t="shared" si="1"/>
        <v>0</v>
      </c>
      <c r="AL13" s="899">
        <f t="shared" si="1"/>
        <v>0</v>
      </c>
      <c r="AM13" s="899">
        <f t="shared" si="1"/>
        <v>15556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1531</v>
      </c>
      <c r="BD13" s="899">
        <f t="shared" si="1"/>
        <v>3169</v>
      </c>
      <c r="BE13" s="899">
        <f t="shared" si="1"/>
        <v>0</v>
      </c>
      <c r="BF13" s="899">
        <f t="shared" si="1"/>
        <v>0</v>
      </c>
      <c r="BG13" s="899">
        <f>IF(ISNUMBER(Datos!K13/Datos!J13),Datos!K13/Datos!J13," - ")</f>
        <v>0.55489987423817355</v>
      </c>
      <c r="BH13" s="903">
        <f>IF(ISNUMBER(((Datos!L13/Datos!K13)*11)/factor_trimestre),((Datos!L13/Datos!K13)*11)/factor_trimestre," - ")</f>
        <v>9.5507322175732217</v>
      </c>
      <c r="BI13" s="899">
        <f>IF(ISNUMBER('Resol  Asuntos'!D13/NºAsuntos!G13),'Resol  Asuntos'!D13/NºAsuntos!G13," - ")</f>
        <v>0.25922790382661698</v>
      </c>
      <c r="BJ13" s="899" t="str">
        <f>IF(ISNUMBER(Datos!CI13/Datos!CJ13),Datos!CI13/Datos!CJ13," - ")</f>
        <v xml:space="preserve"> - </v>
      </c>
      <c r="BK13" s="899">
        <f>SUBTOTAL(9,BK8:BK12)</f>
        <v>0</v>
      </c>
      <c r="BL13" s="899">
        <f>IF(ISNUMBER((I13-AB13+L13)/(F13)),(I13-AB13+L13)/(F13)," - ")</f>
        <v>-0.16015625</v>
      </c>
      <c r="BM13" s="904">
        <f>SUBTOTAL(9,BM9:BM12)</f>
        <v>4.5402108235744539E-2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5</v>
      </c>
      <c r="B15" s="594" t="s">
        <v>396</v>
      </c>
      <c r="C15" s="600" t="str">
        <f>Datos!A15</f>
        <v xml:space="preserve">Jdos. Instrucción                               </v>
      </c>
      <c r="D15" s="601"/>
      <c r="E15" s="1165">
        <f>IF(ISNUMBER(Datos!AQ15),Datos!AQ15," - ")</f>
        <v>5</v>
      </c>
      <c r="F15" s="595">
        <f>IF(ISNUMBER(AF15+AB15-Datos!J15-L15),AF15+AB15-Datos!J15-L15," - ")</f>
        <v>2454</v>
      </c>
      <c r="G15" s="598">
        <f>IF(ISNUMBER(IF(D_I="SI",Datos!I15,Datos!I15+Datos!AC15)),IF(D_I="SI",Datos!I15,Datos!I15+Datos!AC15)," - ")</f>
        <v>2405</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211</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4826</v>
      </c>
      <c r="AC15" s="226">
        <f>IF(ISNUMBER(Datos!Q15),Datos!Q15," - ")</f>
        <v>172</v>
      </c>
      <c r="AD15" s="334"/>
      <c r="AE15" s="484"/>
      <c r="AF15" s="596">
        <f>IF(ISNUMBER(IF(D_I="SI",Datos!L15,Datos!L15+Datos!AF15)),IF(D_I="SI",Datos!L15,Datos!L15+Datos!AF15)," - ")</f>
        <v>2528</v>
      </c>
      <c r="AG15" s="334"/>
      <c r="AH15" s="334"/>
      <c r="AI15" s="334"/>
      <c r="AJ15" s="334"/>
      <c r="AK15" s="334"/>
      <c r="AL15" s="479"/>
      <c r="AM15" s="335">
        <f>IF(ISNUMBER(Datos!R15),Datos!R15," - ")</f>
        <v>515</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493</v>
      </c>
      <c r="BD15" s="229">
        <f>IF(ISNUMBER(Datos!N15),Datos!N15," - ")</f>
        <v>3471</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0.98489795918367351</v>
      </c>
      <c r="BH15" s="260">
        <f>IF(ISNUMBER(((IF(D_I="SI",Datos!L15/Datos!K15,(Datos!L15+Datos!AF15)/(Datos!K15+Datos!AE15)))*11)/factor_trimestre),((IF(D_I="SI",Datos!L15/Datos!K15,(Datos!L15+Datos!AF15)/(Datos!K15+Datos!AE15)))*11)/factor_trimestre," - ")</f>
        <v>1.5714877745544966</v>
      </c>
      <c r="BI15" s="243">
        <f>IF(ISNUMBER('Resol  Asuntos'!D15/NºAsuntos!G15),'Resol  Asuntos'!D15/NºAsuntos!G15," - ")</f>
        <v>0.10215499378367178</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2</v>
      </c>
      <c r="B17" s="507" t="s">
        <v>396</v>
      </c>
      <c r="C17" s="7" t="str">
        <f>Datos!A17</f>
        <v>Jdos. Violencia contra la mujer</v>
      </c>
      <c r="D17" s="508"/>
      <c r="E17" s="1025">
        <f>IF(ISNUMBER(Datos!AQ17),Datos!AQ17," - ")</f>
        <v>2</v>
      </c>
      <c r="F17" s="225" t="str">
        <f>IF(ISNUMBER(AF17+AB17-I17-L17),AF17+AB17-I17-L17," - ")</f>
        <v xml:space="preserve"> - </v>
      </c>
      <c r="G17" s="333">
        <f>IF(ISNUMBER(IF(D_I="SI",Datos!I17,Datos!I17+Datos!AC17)),IF(D_I="SI",Datos!I17,Datos!I17+Datos!AC17)," - ")</f>
        <v>403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679</v>
      </c>
      <c r="AC17" s="226">
        <f>IF(ISNUMBER(Datos!Q17),Datos!Q17," - ")</f>
        <v>10</v>
      </c>
      <c r="AD17" s="334"/>
      <c r="AE17" s="484"/>
      <c r="AF17" s="332">
        <f>IF(ISNUMBER(Datos!L17),Datos!L17,"-")</f>
        <v>483</v>
      </c>
      <c r="AG17" s="334"/>
      <c r="AH17" s="334"/>
      <c r="AI17" s="334"/>
      <c r="AJ17" s="334"/>
      <c r="AK17" s="334"/>
      <c r="AL17" s="479"/>
      <c r="AM17" s="335">
        <f>IF(ISNUMBER(Datos!R17),Datos!R17," - ")</f>
        <v>19</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118</v>
      </c>
      <c r="BD17" s="229">
        <f>IF(ISNUMBER(Datos!N17),Datos!N17," - ")</f>
        <v>384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0.8945981554677207</v>
      </c>
      <c r="BH17" s="260">
        <f>IF(ISNUMBER(((IF(D_I="SI",Datos!L17/Datos!K17,(Datos!L17+Datos!AF17)/(Datos!K17+Datos!AE17)))*11)/factor_trimestre),((IF(D_I="SI",Datos!L17/Datos!K17,(Datos!L17+Datos!AF17)/(Datos!K17+Datos!AE17)))*11)/factor_trimestre," - ")</f>
        <v>2.1340206185567014</v>
      </c>
      <c r="BI17" s="243">
        <f>IF(ISNUMBER('Resol  Asuntos'!D17/NºAsuntos!G17),'Resol  Asuntos'!D17/NºAsuntos!G17," - ")</f>
        <v>0.17378497790868924</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7</v>
      </c>
      <c r="F18" s="898">
        <f>SUBTOTAL(9,F15:F17)</f>
        <v>2454</v>
      </c>
      <c r="G18" s="898">
        <f>SUBTOTAL(9,G15:G17)</f>
        <v>2808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222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5505</v>
      </c>
      <c r="AC18" s="899">
        <f t="shared" si="4"/>
        <v>182</v>
      </c>
      <c r="AD18" s="899">
        <f t="shared" si="4"/>
        <v>0</v>
      </c>
      <c r="AE18" s="899">
        <f t="shared" si="4"/>
        <v>0</v>
      </c>
      <c r="AF18" s="899">
        <f t="shared" si="4"/>
        <v>3011</v>
      </c>
      <c r="AG18" s="899">
        <f t="shared" si="4"/>
        <v>0</v>
      </c>
      <c r="AH18" s="899">
        <f t="shared" si="4"/>
        <v>0</v>
      </c>
      <c r="AI18" s="899">
        <f t="shared" si="4"/>
        <v>0</v>
      </c>
      <c r="AJ18" s="899">
        <f t="shared" si="4"/>
        <v>0</v>
      </c>
      <c r="AK18" s="899">
        <f t="shared" si="4"/>
        <v>0</v>
      </c>
      <c r="AL18" s="899">
        <f t="shared" si="4"/>
        <v>0</v>
      </c>
      <c r="AM18" s="899">
        <f t="shared" si="4"/>
        <v>534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611</v>
      </c>
      <c r="BD18" s="899">
        <f t="shared" si="4"/>
        <v>3855</v>
      </c>
      <c r="BE18" s="899">
        <f t="shared" si="4"/>
        <v>0</v>
      </c>
      <c r="BF18" s="899">
        <f t="shared" si="4"/>
        <v>0</v>
      </c>
      <c r="BG18" s="899">
        <f>IF(ISNUMBER(Datos!K18/Datos!J18),Datos!K18/Datos!J18," - ")</f>
        <v>0.97278671143311535</v>
      </c>
      <c r="BH18" s="903">
        <f>IF(ISNUMBER(((Datos!L18/Datos!K18)*11)/factor_trimestre),((Datos!L18/Datos!K18)*11)/factor_trimestre," - ")</f>
        <v>1.6408719346049045</v>
      </c>
      <c r="BI18" s="899">
        <f>SUBTOTAL(9,BI15:BI17)</f>
        <v>0.27593997169236101</v>
      </c>
      <c r="BJ18" s="899">
        <f>SUBTOTAL(9,BJ15:BJ17)</f>
        <v>0</v>
      </c>
      <c r="BK18" s="899">
        <f>SUBTOTAL(9,BK15:BK17)</f>
        <v>0</v>
      </c>
      <c r="BL18" s="899">
        <f>IF(ISNUMBER((I18-AB18+L18)/(F18)),(I18-AB18+L18)/(F18)," - ")</f>
        <v>-2.2432762836185818</v>
      </c>
      <c r="BM18" s="905">
        <f>IF(ISNUMBER((Datos!P18-Datos!Q18)/(Datos!R18-Datos!P18+Datos!Q18)),(Datos!P18-Datos!Q18)/(Datos!R18-Datos!P18+Datos!Q18)," - ")</f>
        <v>8.0971659919028341E-2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20</v>
      </c>
      <c r="F19" s="820">
        <f t="shared" si="6"/>
        <v>2710</v>
      </c>
      <c r="G19" s="820">
        <f t="shared" si="6"/>
        <v>3064</v>
      </c>
      <c r="H19" s="822">
        <f t="shared" si="6"/>
        <v>0</v>
      </c>
      <c r="I19" s="820">
        <f t="shared" si="6"/>
        <v>0</v>
      </c>
      <c r="J19" s="822">
        <f t="shared" si="6"/>
        <v>0</v>
      </c>
      <c r="K19" s="822">
        <f t="shared" si="6"/>
        <v>0</v>
      </c>
      <c r="L19" s="881">
        <f t="shared" si="6"/>
        <v>0</v>
      </c>
      <c r="M19" s="881">
        <f t="shared" si="6"/>
        <v>0</v>
      </c>
      <c r="N19" s="881">
        <f t="shared" si="6"/>
        <v>213</v>
      </c>
      <c r="O19" s="881">
        <f t="shared" si="6"/>
        <v>0</v>
      </c>
      <c r="P19" s="881">
        <f t="shared" si="6"/>
        <v>0</v>
      </c>
      <c r="Q19" s="822">
        <f t="shared" si="6"/>
        <v>1233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5546</v>
      </c>
      <c r="AC19" s="821">
        <f t="shared" si="7"/>
        <v>911</v>
      </c>
      <c r="AD19" s="821">
        <f t="shared" si="7"/>
        <v>0</v>
      </c>
      <c r="AE19" s="821">
        <f t="shared" si="7"/>
        <v>0</v>
      </c>
      <c r="AF19" s="828">
        <f t="shared" si="7"/>
        <v>3282</v>
      </c>
      <c r="AG19" s="828">
        <f t="shared" si="7"/>
        <v>0</v>
      </c>
      <c r="AH19" s="828">
        <f t="shared" si="7"/>
        <v>313</v>
      </c>
      <c r="AI19" s="828">
        <f t="shared" si="7"/>
        <v>0</v>
      </c>
      <c r="AJ19" s="821">
        <f t="shared" si="7"/>
        <v>0</v>
      </c>
      <c r="AK19" s="828">
        <f t="shared" si="7"/>
        <v>0</v>
      </c>
      <c r="AL19" s="828">
        <f t="shared" si="7"/>
        <v>0</v>
      </c>
      <c r="AM19" s="828">
        <f t="shared" si="7"/>
        <v>16090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2142</v>
      </c>
      <c r="BD19" s="820">
        <f t="shared" si="7"/>
        <v>7024</v>
      </c>
      <c r="BE19" s="820">
        <f t="shared" si="7"/>
        <v>0</v>
      </c>
      <c r="BF19" s="830">
        <f t="shared" si="7"/>
        <v>0</v>
      </c>
      <c r="BG19" s="915">
        <f>IF(ISNUMBER(Datos!K19/Datos!J19),Datos!K19/Datos!J19," - ")</f>
        <v>0.70273818454613657</v>
      </c>
      <c r="BH19" s="915">
        <f>IF(ISNUMBER(((Datos!L19/Datos!K19)*11)/factor_trimestre),((Datos!L19/Datos!K19)*11)/factor_trimestre," - ")</f>
        <v>5.677074993327996</v>
      </c>
      <c r="BI19" s="813">
        <f>IF(ISNUMBER(Datos!J19/Datos!I19),Datos!J19/Datos!I19," - ")</f>
        <v>0.9682808716707022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-2.0464944649446495</v>
      </c>
      <c r="BM19" s="889">
        <f>IF(ISNUMBER((Datos!P19-Datos!Q19+R19)/(Datos!R19-Datos!P19+Datos!Q19-R19)),(Datos!P19-Datos!Q19+R19)/(Datos!R19-Datos!P19+Datos!Q19-R19)," - ")</f>
        <v>2.0421106037544393E-2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1225.5999999999999</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4.4472213547087778</v>
      </c>
      <c r="F21" s="551">
        <f>IF(ISNUMBER(STDEV(F8:F18)),STDEV(F8:F18),"-")</f>
        <v>1269.0158916787973</v>
      </c>
      <c r="G21" s="552">
        <f>IF(ISNUMBER(STDEV(G8:G18)),STDEV(G8:G18),"-")</f>
        <v>1270.0288579398502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2713.5406390912963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595.91945764507477</v>
      </c>
      <c r="BD21" s="551"/>
      <c r="BE21" s="551">
        <f>IF(ISNUMBER(STDEV(BE8:BE18)),STDEV(BE8:BE18),"-")</f>
        <v>0</v>
      </c>
      <c r="BF21" s="556">
        <f>IF(ISNUMBER(STDEV(BF8:BF18)),STDEV(BF8:BF18),"-")</f>
        <v>0</v>
      </c>
      <c r="BG21" s="775">
        <f>IF(ISNUMBER(STDEV(BG8:BG18)),STDEV(BG8:BG18),"-")</f>
        <v>0.19117156323139439</v>
      </c>
      <c r="BH21" s="776">
        <f>IF(ISNUMBER(STDEV(BH8:BH18)),STDEV(BH8:BH18),"-")</f>
        <v>6.6184452658258994</v>
      </c>
      <c r="BI21" s="249">
        <f>IF(ISNUMBER(STDEV(BI8:BI18)),STDEV(BI8:BI18),"-")</f>
        <v>8.0632603930079538E-2</v>
      </c>
      <c r="BJ21" s="230" t="str">
        <f>IF(ISNUMBER(BL21/BM21),BL21/BM21," - ")</f>
        <v xml:space="preserve"> - </v>
      </c>
      <c r="BK21" s="575"/>
      <c r="BL21" s="559">
        <f>IF(ISNUMBER(STDEV(BL8:BL18)),STDEV(BL8:BL18),"-")</f>
        <v>1.472988301797248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5vUC/u4m0fBHSknbR17OjxWvFpZqnQJI1oPpg3irY8ZJSA+pqAzpqpkiE571HEqyEHKFFvfeFbkh91vQiUZTlA==" saltValue="IXKWC3BEo37IdoWbmtSKqA=="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CANARIAS</v>
      </c>
    </row>
    <row r="2" spans="1:78" ht="16.5" customHeight="1">
      <c r="C2" s="528" t="str">
        <f>Criterios!A10 &amp;"  "&amp;Criterios!B10 &amp; "  " &amp; IF(NOT(ISBLANK(Criterios!A11)),Criterios!A11 &amp;"  "&amp;Criterios!B11,"")</f>
        <v>Provincias  SANTA CRUZ DE TENERIFE  Resumenes por Partidos Judiciales  SANTA CRUZ DE TENERIFE</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9</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965</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682</v>
      </c>
      <c r="AA9" s="332" t="str">
        <f>IF(ISNUMBER(IF(J_V="SI",Datos!L9,Datos!L9+Datos!AB9)-IF(Monitorios="SI",Datos!CD9,0)),
                          IF(J_V="SI",Datos!L9,Datos!L9+Datos!AB9)-IF(Monitorios="SI",Datos!CD9,0),
                          " - ")</f>
        <v xml:space="preserve"> - </v>
      </c>
      <c r="AB9" s="334"/>
      <c r="AC9" s="334"/>
      <c r="AD9" s="484"/>
      <c r="AE9" s="484">
        <f>IF(ISNUMBER(Datos!R9),Datos!R9," - ")</f>
        <v>14812</v>
      </c>
      <c r="AF9" s="229" t="str">
        <f>IF(ISNUMBER(Datos!BV9),Datos!BV9," - ")</f>
        <v xml:space="preserve"> - </v>
      </c>
      <c r="AG9" s="225" t="str">
        <f>IF(ISNUMBER(Datos!DV9),Datos!DV9," - ")</f>
        <v xml:space="preserve"> - </v>
      </c>
      <c r="AH9" s="298"/>
      <c r="AI9" s="227"/>
      <c r="AJ9" s="225">
        <f>IF(ISNUMBER(Datos!M9),Datos!M9," - ")</f>
        <v>1320</v>
      </c>
      <c r="AK9" s="229">
        <f>IF(ISNUMBER(Datos!N9),Datos!N9," - ")</f>
        <v>2939</v>
      </c>
      <c r="AL9" s="229" t="str">
        <f>IF(ISNUMBER(Datos!BW9),Datos!BW9," - ")</f>
        <v xml:space="preserve"> - </v>
      </c>
      <c r="AM9" s="228" t="str">
        <f>IF(ISNUMBER(Datos!BX9),Datos!BX9," - ")</f>
        <v xml:space="preserve"> - </v>
      </c>
      <c r="AN9" s="243"/>
      <c r="AO9" s="260">
        <f>IF(ISNUMBER(((NºAsuntos!I9/NºAsuntos!G9)*11)/factor_trimestre),((NºAsuntos!I9/NºAsuntos!G9)*11)/factor_trimestre," - ")</f>
        <v>9.6967849223946789</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1.9478284809690962E-2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2</v>
      </c>
      <c r="B10" s="507" t="s">
        <v>246</v>
      </c>
      <c r="C10" s="7" t="str">
        <f>Datos!A10</f>
        <v>Jdos. Violencia contra la mujer</v>
      </c>
      <c r="D10" s="508"/>
      <c r="E10" s="1168">
        <f>IF(ISNUMBER(Datos!AQ10),Datos!AQ10," - ")</f>
        <v>2</v>
      </c>
      <c r="F10" s="225">
        <f>IF(ISNUMBER(Datos!L10+Datos!K10-Datos!J10),Datos!L10+Datos!K10-Datos!J10," - ")</f>
        <v>256</v>
      </c>
      <c r="G10" s="225">
        <f>IF(ISNUMBER(Datos!I10),Datos!I10," - ")</f>
        <v>256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4</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41</v>
      </c>
      <c r="Z10" s="619">
        <f>IF(ISNUMBER(Datos!Q10),Datos!Q10," - ")</f>
        <v>0</v>
      </c>
      <c r="AA10" s="332">
        <f>IF(ISNUMBER(Datos!L10),Datos!L10,"-")</f>
        <v>271</v>
      </c>
      <c r="AB10" s="334"/>
      <c r="AC10" s="334"/>
      <c r="AD10" s="484"/>
      <c r="AE10" s="484">
        <f>IF(ISNUMBER(Datos!R10),Datos!R10," - ")</f>
        <v>122</v>
      </c>
      <c r="AF10" s="229" t="str">
        <f>IF(ISNUMBER(Datos!BV10),Datos!BV10," - ")</f>
        <v xml:space="preserve"> - </v>
      </c>
      <c r="AG10" s="225" t="str">
        <f>IF(ISNUMBER(Datos!DV10),Datos!DV10," - ")</f>
        <v xml:space="preserve"> - </v>
      </c>
      <c r="AH10" s="298"/>
      <c r="AI10" s="227"/>
      <c r="AJ10" s="225">
        <f>IF(ISNUMBER(Datos!M10),Datos!M10," - ")</f>
        <v>23</v>
      </c>
      <c r="AK10" s="229">
        <f>IF(ISNUMBER(Datos!N10),Datos!N10," - ")</f>
        <v>12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19.829268292682926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3.3898305084745763E-2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42</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47</v>
      </c>
      <c r="AA11" s="332" t="str">
        <f>IF(ISNUMBER(IF(J_V="SI",Datos!L11,Datos!L11+Datos!AB11)-IF(Monitorios="SI",Datos!CD11,0)),
                          IF(J_V="SI",Datos!L11,Datos!L11+Datos!AB11)-IF(Monitorios="SI",Datos!CD11,0),
                          " - ")</f>
        <v xml:space="preserve"> - </v>
      </c>
      <c r="AB11" s="334"/>
      <c r="AC11" s="334"/>
      <c r="AD11" s="484"/>
      <c r="AE11" s="484">
        <f>IF(ISNUMBER(Datos!R11),Datos!R11," - ")</f>
        <v>622</v>
      </c>
      <c r="AF11" s="229" t="str">
        <f>IF(ISNUMBER(Datos!BV11),Datos!BV11," - ")</f>
        <v xml:space="preserve"> - </v>
      </c>
      <c r="AG11" s="225" t="str">
        <f>IF(ISNUMBER(Datos!DV11),Datos!DV11," - ")</f>
        <v xml:space="preserve"> - </v>
      </c>
      <c r="AH11" s="298"/>
      <c r="AI11" s="227"/>
      <c r="AJ11" s="225">
        <f>IF(ISNUMBER(Datos!M11),Datos!M11," - ")</f>
        <v>188</v>
      </c>
      <c r="AK11" s="229">
        <f>IF(ISNUMBER(Datos!N11),Datos!N11," - ")</f>
        <v>218</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5.3642384105960268</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-7.9744816586921844E-3</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13</v>
      </c>
      <c r="F13" s="898">
        <f>SUBTOTAL(9,F8:F12)</f>
        <v>256</v>
      </c>
      <c r="G13" s="898">
        <f>SUBTOTAL(9,G8:G12)</f>
        <v>256</v>
      </c>
      <c r="H13" s="908"/>
      <c r="I13" s="898">
        <f t="shared" ref="I13:N13" si="0">SUBTOTAL(9,I8:I12)</f>
        <v>0</v>
      </c>
      <c r="J13" s="867">
        <f t="shared" si="0"/>
        <v>0</v>
      </c>
      <c r="K13" s="908">
        <f t="shared" si="0"/>
        <v>0</v>
      </c>
      <c r="L13" s="908">
        <f t="shared" si="0"/>
        <v>0</v>
      </c>
      <c r="M13" s="908">
        <f t="shared" si="0"/>
        <v>0</v>
      </c>
      <c r="N13" s="908">
        <f t="shared" si="0"/>
        <v>1011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41</v>
      </c>
      <c r="Z13" s="907">
        <f t="shared" si="2"/>
        <v>729</v>
      </c>
      <c r="AA13" s="900">
        <f t="shared" si="2"/>
        <v>271</v>
      </c>
      <c r="AB13" s="900">
        <f t="shared" si="2"/>
        <v>0</v>
      </c>
      <c r="AC13" s="900">
        <f t="shared" si="2"/>
        <v>0</v>
      </c>
      <c r="AD13" s="900">
        <f t="shared" si="2"/>
        <v>0</v>
      </c>
      <c r="AE13" s="900">
        <f t="shared" si="2"/>
        <v>15556</v>
      </c>
      <c r="AF13" s="908">
        <f t="shared" si="2"/>
        <v>0</v>
      </c>
      <c r="AG13" s="908">
        <f t="shared" si="2"/>
        <v>0</v>
      </c>
      <c r="AH13" s="908">
        <f t="shared" si="2"/>
        <v>0</v>
      </c>
      <c r="AI13" s="908">
        <f t="shared" si="2"/>
        <v>0</v>
      </c>
      <c r="AJ13" s="908">
        <f t="shared" si="2"/>
        <v>1531</v>
      </c>
      <c r="AK13" s="908">
        <f t="shared" si="2"/>
        <v>3169</v>
      </c>
      <c r="AL13" s="908">
        <f t="shared" si="2"/>
        <v>0</v>
      </c>
      <c r="AM13" s="908">
        <f t="shared" si="2"/>
        <v>0</v>
      </c>
      <c r="AN13" s="908">
        <f t="shared" si="2"/>
        <v>0</v>
      </c>
      <c r="AO13" s="904">
        <f>IF(ISNUMBER(((NºAsuntos!I13/NºAsuntos!G13)*11)/factor_trimestre),((NºAsuntos!I13/NºAsuntos!G13)*11)/factor_trimestre," - ")</f>
        <v>9.4348120555367423</v>
      </c>
      <c r="AP13" s="910" t="str">
        <f>IF(ISNUMBER(Datos!CI13/Datos!CJ13),Datos!CI13/Datos!CJ13," - ")</f>
        <v xml:space="preserve"> - </v>
      </c>
      <c r="AQ13" s="928">
        <f t="shared" ref="AQ13:AV13" si="3">SUBTOTAL(9,AQ9:AQ12)</f>
        <v>0</v>
      </c>
      <c r="AR13" s="928">
        <f t="shared" si="3"/>
        <v>4.5402108235744539E-2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5</v>
      </c>
      <c r="B15" s="507" t="s">
        <v>396</v>
      </c>
      <c r="C15" s="160" t="str">
        <f>Datos!A15</f>
        <v xml:space="preserve">Jdos. Instrucción                               </v>
      </c>
      <c r="D15" s="502"/>
      <c r="E15" s="1168">
        <f>IF(ISNUMBER(Datos!AQ15),Datos!AQ15," - ")</f>
        <v>5</v>
      </c>
      <c r="F15" s="333">
        <f>IF(ISNUMBER(AA15+Y15-Datos!J15-K15),AA15+Y15-Datos!J15-K15," - ")</f>
        <v>2454</v>
      </c>
      <c r="G15" s="225">
        <f>IF(ISNUMBER(IF(D_I="SI",Datos!I15,Datos!I15+Datos!AC15)),IF(D_I="SI",Datos!I15,Datos!I15+Datos!AC15)," - ")</f>
        <v>2405</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211</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4826</v>
      </c>
      <c r="Z15" s="619">
        <f>IF(ISNUMBER(Datos!Q15),Datos!Q15," - ")</f>
        <v>172</v>
      </c>
      <c r="AA15" s="332">
        <f>IF(ISNUMBER(IF(D_I="SI",Datos!L15,Datos!L15+Datos!AF15)),IF(D_I="SI",Datos!L15,Datos!L15+Datos!AF15)," - ")</f>
        <v>2528</v>
      </c>
      <c r="AB15" s="334"/>
      <c r="AC15" s="334"/>
      <c r="AD15" s="484"/>
      <c r="AE15" s="484">
        <f>IF(ISNUMBER(Datos!R15),Datos!R15," - ")</f>
        <v>515</v>
      </c>
      <c r="AF15" s="229" t="str">
        <f>IF(ISNUMBER(Datos!BV15),Datos!BV15," - ")</f>
        <v xml:space="preserve"> - </v>
      </c>
      <c r="AG15" s="225"/>
      <c r="AH15" s="298"/>
      <c r="AI15" s="227"/>
      <c r="AJ15" s="225">
        <f>IF(ISNUMBER(Datos!M15),Datos!M15," - ")</f>
        <v>493</v>
      </c>
      <c r="AK15" s="229">
        <f>IF(ISNUMBER(Datos!N15),Datos!N15," - ")</f>
        <v>3471</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1.5714877745544966</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2</v>
      </c>
      <c r="B17" s="507" t="s">
        <v>396</v>
      </c>
      <c r="C17" s="7" t="str">
        <f>Datos!A17</f>
        <v>Jdos. Violencia contra la mujer</v>
      </c>
      <c r="D17" s="508"/>
      <c r="E17" s="1168">
        <f>IF(ISNUMBER(Datos!AQ17),Datos!AQ17," - ")</f>
        <v>2</v>
      </c>
      <c r="F17" s="225" t="str">
        <f>IF(ISNUMBER(AA17+Y17-I17-K17),AA17+Y17-I17-K17," - ")</f>
        <v xml:space="preserve"> - </v>
      </c>
      <c r="G17" s="523">
        <f>IF(ISNUMBER(IF(D_I="SI",Datos!I17,Datos!I17+Datos!AC17)),IF(D_I="SI",Datos!I17,Datos!I17+Datos!AC17)," - ")</f>
        <v>403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679</v>
      </c>
      <c r="Z17" s="619">
        <f>IF(ISNUMBER(Datos!Q17),Datos!Q17," - ")</f>
        <v>10</v>
      </c>
      <c r="AA17" s="332">
        <f>IF(ISNUMBER(Datos!L17),Datos!L17,"-")</f>
        <v>483</v>
      </c>
      <c r="AB17" s="334"/>
      <c r="AC17" s="334"/>
      <c r="AD17" s="484"/>
      <c r="AE17" s="484">
        <f>IF(ISNUMBER(Datos!R17),Datos!R17," - ")</f>
        <v>19</v>
      </c>
      <c r="AF17" s="229" t="str">
        <f>IF(ISNUMBER(Datos!BV17),Datos!BV17," - ")</f>
        <v xml:space="preserve"> - </v>
      </c>
      <c r="AG17" s="225" t="str">
        <f>IF(ISNUMBER(Datos!DV17),Datos!DV17," - ")</f>
        <v xml:space="preserve"> - </v>
      </c>
      <c r="AH17" s="298"/>
      <c r="AI17" s="227"/>
      <c r="AJ17" s="225">
        <f>IF(ISNUMBER(Datos!M17),Datos!M17," - ")</f>
        <v>118</v>
      </c>
      <c r="AK17" s="229">
        <f>IF(ISNUMBER(Datos!N17),Datos!N17," - ")</f>
        <v>384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2.1340206185567014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7</v>
      </c>
      <c r="F18" s="898">
        <f>SUBTOTAL(9,F15:F17)</f>
        <v>2454</v>
      </c>
      <c r="G18" s="898">
        <f>SUBTOTAL(9,G15:G17)</f>
        <v>2808</v>
      </c>
      <c r="H18" s="932">
        <f>SUBTOTAL(9,H15:H17)</f>
        <v>0</v>
      </c>
      <c r="I18" s="911">
        <f>SUBTOTAL(9,I15:I17)</f>
        <v>0</v>
      </c>
      <c r="J18" s="867">
        <f>SUBTOTAL(9,J14:J17)</f>
        <v>0</v>
      </c>
      <c r="K18" s="932">
        <f t="shared" ref="K18:S18" si="4">SUBTOTAL(9,K15:K17)</f>
        <v>0</v>
      </c>
      <c r="L18" s="932">
        <f t="shared" si="4"/>
        <v>0</v>
      </c>
      <c r="M18" s="932">
        <f t="shared" si="4"/>
        <v>0</v>
      </c>
      <c r="N18" s="932">
        <f t="shared" si="4"/>
        <v>222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5505</v>
      </c>
      <c r="Z18" s="932">
        <f t="shared" si="5"/>
        <v>182</v>
      </c>
      <c r="AA18" s="932">
        <f t="shared" si="5"/>
        <v>3011</v>
      </c>
      <c r="AB18" s="932">
        <f t="shared" si="5"/>
        <v>0</v>
      </c>
      <c r="AC18" s="932">
        <f t="shared" si="5"/>
        <v>0</v>
      </c>
      <c r="AD18" s="932">
        <f t="shared" si="5"/>
        <v>0</v>
      </c>
      <c r="AE18" s="932">
        <f t="shared" si="5"/>
        <v>534</v>
      </c>
      <c r="AF18" s="932">
        <f t="shared" si="5"/>
        <v>0</v>
      </c>
      <c r="AG18" s="932">
        <f t="shared" si="5"/>
        <v>0</v>
      </c>
      <c r="AH18" s="932">
        <f t="shared" si="5"/>
        <v>0</v>
      </c>
      <c r="AI18" s="932">
        <f t="shared" si="5"/>
        <v>0</v>
      </c>
      <c r="AJ18" s="932">
        <f t="shared" si="5"/>
        <v>611</v>
      </c>
      <c r="AK18" s="932">
        <f t="shared" si="5"/>
        <v>3855</v>
      </c>
      <c r="AL18" s="932">
        <f t="shared" si="5"/>
        <v>0</v>
      </c>
      <c r="AM18" s="932">
        <f t="shared" si="5"/>
        <v>0</v>
      </c>
      <c r="AN18" s="932">
        <f t="shared" si="5"/>
        <v>0</v>
      </c>
      <c r="AO18" s="934">
        <f>IF(ISNUMBER(((NºAsuntos!I18/NºAsuntos!G18)*11)/factor_trimestre),((NºAsuntos!I18/NºAsuntos!G18)*11)/factor_trimestre," - ")</f>
        <v>1.6408719346049045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20</v>
      </c>
      <c r="F19" s="820">
        <f t="shared" si="7"/>
        <v>2710</v>
      </c>
      <c r="G19" s="820">
        <f t="shared" si="7"/>
        <v>3064</v>
      </c>
      <c r="H19" s="821">
        <f t="shared" si="7"/>
        <v>0</v>
      </c>
      <c r="I19" s="820">
        <f t="shared" si="7"/>
        <v>0</v>
      </c>
      <c r="J19" s="822">
        <f t="shared" si="7"/>
        <v>0</v>
      </c>
      <c r="K19" s="820">
        <f t="shared" si="7"/>
        <v>0</v>
      </c>
      <c r="L19" s="823">
        <f t="shared" si="7"/>
        <v>0</v>
      </c>
      <c r="M19" s="820">
        <f t="shared" si="7"/>
        <v>0</v>
      </c>
      <c r="N19" s="821">
        <f t="shared" si="7"/>
        <v>1233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5546</v>
      </c>
      <c r="Z19" s="827">
        <f t="shared" si="8"/>
        <v>911</v>
      </c>
      <c r="AA19" s="828">
        <f t="shared" si="8"/>
        <v>3282</v>
      </c>
      <c r="AB19" s="828">
        <f t="shared" si="8"/>
        <v>0</v>
      </c>
      <c r="AC19" s="828">
        <f t="shared" si="8"/>
        <v>0</v>
      </c>
      <c r="AD19" s="829">
        <f t="shared" si="8"/>
        <v>0</v>
      </c>
      <c r="AE19" s="829">
        <f t="shared" si="8"/>
        <v>16090</v>
      </c>
      <c r="AF19" s="830">
        <f t="shared" si="8"/>
        <v>0</v>
      </c>
      <c r="AG19" s="831">
        <f t="shared" si="8"/>
        <v>0</v>
      </c>
      <c r="AH19" s="832">
        <f t="shared" si="8"/>
        <v>0</v>
      </c>
      <c r="AI19" s="830">
        <f t="shared" si="8"/>
        <v>0</v>
      </c>
      <c r="AJ19" s="820">
        <f t="shared" si="8"/>
        <v>2142</v>
      </c>
      <c r="AK19" s="820">
        <f t="shared" si="8"/>
        <v>7024</v>
      </c>
      <c r="AL19" s="820">
        <f t="shared" si="8"/>
        <v>0</v>
      </c>
      <c r="AM19" s="833">
        <f t="shared" si="8"/>
        <v>0</v>
      </c>
      <c r="AN19" s="823">
        <f>IF(ISNUMBER(Datos!K19/Datos!J19),Datos!K19/Datos!J19," - ")</f>
        <v>0.70273818454613657</v>
      </c>
      <c r="AO19" s="823">
        <f>IF(ISNUMBER(FIND("06",Criterios!A8,1)),(IF(ISNUMBER(((Datos!R19/Datos!Q19)*11)/factor_trimestre),((Datos!R19/Datos!Q19)*11)/factor_trimestre," - ")),(IF(ISNUMBER(((Datos!L19/Datos!K19)*11)/factor_trimestre),((Datos!L19/Datos!K19)*11)/factor_trimestre," - ")))</f>
        <v>5.677074993327996</v>
      </c>
      <c r="AP19" s="834" t="str">
        <f>IF(ISNUMBER(Datos!CI19/Datos!CJ19),Datos!CI19/Datos!CJ19," - ")</f>
        <v xml:space="preserve"> - </v>
      </c>
      <c r="AQ19" s="834">
        <f>IF(OR(ISNUMBER(FIND("01",Criterios!A8,1)),ISNUMBER(FIND("02",Criterios!A8,1)),ISNUMBER(FIND("03",Criterios!A8,1)),ISNUMBER(FIND("04",Criterios!A8,1))),(J19-Y19+K19)/(F19-K19),(I19-Y19+K19)/(F19-K19))</f>
        <v>-2.0464944649446495</v>
      </c>
      <c r="AR19" s="834">
        <f>IF(ISNUMBER((Datos!P19-Datos!Q19+O19)/(Datos!R19-Datos!P19+Datos!Q19-O19)),(Datos!P19-Datos!Q19+O19)/(Datos!R19-Datos!P19+Datos!Q19-O19)," - ")</f>
        <v>2.0421106037544393E-2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1225.5999999999999</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1269.0158916787973</v>
      </c>
      <c r="G21" s="552">
        <f>IF(ISNUMBER(STDEV(G8:G18)),STDEV(G8:G18),"-")</f>
        <v>1270.0288579398502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595.91945764507477</v>
      </c>
      <c r="AK21" s="252"/>
      <c r="AL21" s="252">
        <f>IF(ISNUMBER(STDEV(AL8:AL18)),STDEV(AL8:AL18),"-")</f>
        <v>0</v>
      </c>
      <c r="AM21" s="254">
        <f>IF(ISNUMBER(STDEV(AM8:AM18)),STDEV(AM8:AM18),"-")</f>
        <v>0</v>
      </c>
      <c r="AN21" s="539">
        <f>IF(ISNUMBER(STDEV(AN8:AN18)),STDEV(AN8:AN18),"-")</f>
        <v>0</v>
      </c>
      <c r="AO21" s="540">
        <f>IF(ISNUMBER(STDEV(AO8:AO18)),STDEV(AO8:AO18),"-")</f>
        <v>6.6114690821134197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rMVByBzzn54ptjIOLHfMSxFRfpU2qa9Lyn34L6TBEhes3H70Oeqrgpv7d3xZbik8hZ6e0Tlqw+9eS/cJVVuz6g==" saltValue="d6W+r6tyfryvA9SFzwt+Gg=="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32ybZ48jms4Vxp0xdalTCemeookURJcJOlVOyyWZSwNUCWKt/WoaGBFK0mVM28WcXmlDxCZdkhTPfkbjiUlWNA==" saltValue="xl+xbXfXkagqJ39SDF/c9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zY96RtbnMVbWniX3t9/bHEUyHeWVeY5/xA4eMYakxYQkDStkBkqaQvd8tGjclbxQv/YO1RxVkuPEO4xervlFQ==" saltValue="5ujTH0bj6nxXFKXBzQbuGw=="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CANARIAS</v>
      </c>
    </row>
    <row r="2" spans="1:78" ht="16.5" customHeight="1">
      <c r="C2" s="488" t="str">
        <f>Criterios!A10 &amp;"  "&amp;Criterios!B10 &amp; "  " &amp; IF(NOT(ISBLANK(Criterios!A11)),Criterios!A11 &amp;"  "&amp;Criterios!B11,"")</f>
        <v>Provincias  SANTA CRUZ DE TENERIFE  Resumenes por Partidos Judiciales  SANTA CRUZ DE TENERIFE</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0.25922790382661698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0.18330180866857504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7dWPu6YVxYZQ9gtvyiS4pge0lrR7B4IW6raKAHNIVquybGrfD/+uVfzHSbcSvAJBBEb0Sb+C/LFZdk4noSq7SQ==" saltValue="gBx/UH0gibMdQSixJAnLAw=="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iJu1OlFAX8CWyN505Tq+VD4avTQ+x1QnKcz7xb73LLTOupQR7qwMQweXcp17mfxDGiK6hAaj7ZpwMf9caqAEpw==" saltValue="cAMECEf9n7fsgBL7dnU3x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CANARIAS</v>
      </c>
      <c r="C2" s="375"/>
      <c r="D2" s="375"/>
      <c r="E2" s="375"/>
      <c r="F2" s="375"/>
    </row>
    <row r="3" spans="1:69" ht="19.5">
      <c r="A3" s="390" t="s">
        <v>115</v>
      </c>
      <c r="B3" s="391" t="str">
        <f>Criterios!A10 &amp;"  "&amp;Criterios!B10</f>
        <v>Provincias  SANTA CRUZ DE TENERIFE</v>
      </c>
      <c r="D3" s="375"/>
      <c r="E3" s="375"/>
      <c r="F3" s="375"/>
      <c r="BQ3" s="471"/>
    </row>
    <row r="4" spans="1:69" ht="13.5" thickBot="1">
      <c r="A4" s="375"/>
      <c r="B4" s="391" t="str">
        <f>Criterios!A11 &amp;"  "&amp;Criterios!B11</f>
        <v>Resumenes por Partidos Judiciales  SANTA CRUZ DE TENERIFE</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9</v>
      </c>
      <c r="C9" s="403">
        <f>IF(ISNUMBER(IF(J_V="SI",Datos!I9,Datos!I9+Datos!Y9)),IF(J_V="SI",Datos!I9,Datos!I9+Datos!Y9)," - ")</f>
        <v>12889</v>
      </c>
      <c r="D9" s="404">
        <f>IF(ISNUMBER(C9/Datos!BH9),C9/Datos!BH9," - ")</f>
        <v>1611.125</v>
      </c>
      <c r="E9" s="403">
        <f>IF(ISNUMBER(IF(J_V="SI",Datos!J9,Datos!J9+Datos!Z9)),IF(J_V="SI",Datos!J9,Datos!J9+Datos!Z9)," - ")</f>
        <v>10002</v>
      </c>
      <c r="F9" s="404">
        <f>IF(ISNUMBER(E9/B9),E9/B9," - ")</f>
        <v>1111.3333333333333</v>
      </c>
      <c r="G9" s="403">
        <f>IF(ISNUMBER(IF(J_V="SI",Datos!K9,Datos!K9+Datos!AA9)),IF(J_V="SI",Datos!K9,Datos!K9+Datos!AA9)," - ")</f>
        <v>5412</v>
      </c>
      <c r="H9" s="404">
        <f>IF(ISNUMBER(G9/B9),G9/B9," - ")</f>
        <v>601.33333333333337</v>
      </c>
      <c r="I9" s="403">
        <f>IF(ISNUMBER(IF(J_V="SI",Datos!L9,Datos!L9+Datos!AB9)),IF(J_V="SI",Datos!L9,Datos!L9+Datos!AB9)," - ")</f>
        <v>17493</v>
      </c>
      <c r="J9" s="404">
        <f>IF(ISNUMBER(I9/B9),I9/B9," - ")</f>
        <v>1943.6666666666667</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2</v>
      </c>
      <c r="C10" s="403">
        <f>IF(ISNUMBER(Datos!I10),Datos!I10," - ")</f>
        <v>256</v>
      </c>
      <c r="D10" s="404">
        <f>IF(ISNUMBER(C10/Datos!BH10),C10/Datos!BH10," - ")</f>
        <v>128</v>
      </c>
      <c r="E10" s="403">
        <f>IF(ISNUMBER(Datos!J10),Datos!J10," - ")</f>
        <v>56</v>
      </c>
      <c r="F10" s="404">
        <f>IF(ISNUMBER(E10/B10),E10/B10," - ")</f>
        <v>28</v>
      </c>
      <c r="G10" s="403">
        <f>IF(ISNUMBER(Datos!K10),Datos!K10," - ")</f>
        <v>41</v>
      </c>
      <c r="H10" s="404">
        <f>IF(ISNUMBER(G10/B10),G10/B10," - ")</f>
        <v>20.5</v>
      </c>
      <c r="I10" s="403">
        <f>IF(ISNUMBER(Datos!L10),Datos!L10," - ")</f>
        <v>271</v>
      </c>
      <c r="J10" s="404">
        <f>IF(ISNUMBER(I10/B10),I10/B10," - ")</f>
        <v>135.5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852</v>
      </c>
      <c r="D11" s="404">
        <f>IF(ISNUMBER(C11/Datos!BH11),C11/Datos!BH11," - ")</f>
        <v>426</v>
      </c>
      <c r="E11" s="403">
        <f>IF(ISNUMBER(IF(J_V="SI",Datos!J11,Datos!J11+Datos!Z11)),IF(J_V="SI",Datos!J11,Datos!J11+Datos!Z11)," - ")</f>
        <v>492</v>
      </c>
      <c r="F11" s="404">
        <f>IF(ISNUMBER(E11/B11),E11/B11," - ")</f>
        <v>246</v>
      </c>
      <c r="G11" s="403">
        <f>IF(ISNUMBER(IF(J_V="SI",Datos!K11,Datos!K11+Datos!AA11)),IF(J_V="SI",Datos!K11,Datos!K11+Datos!AA11)," - ")</f>
        <v>453</v>
      </c>
      <c r="H11" s="404">
        <f>IF(ISNUMBER(G11/B11),G11/B11," - ")</f>
        <v>226.5</v>
      </c>
      <c r="I11" s="403">
        <f>IF(ISNUMBER(IF(J_V="SI",Datos!L11,Datos!L11+Datos!AB11)),IF(J_V="SI",Datos!L11,Datos!L11+Datos!AB11)," - ")</f>
        <v>810</v>
      </c>
      <c r="J11" s="404">
        <f>IF(ISNUMBER(I11/B11),I11/B11," - ")</f>
        <v>405</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13</v>
      </c>
      <c r="C13" s="849">
        <f>SUBTOTAL(9,C8:C12)</f>
        <v>13997</v>
      </c>
      <c r="D13" s="850" t="str">
        <f>IF(ISNUMBER(C13/Datos!BI13),C13/Datos!BI13," - ")</f>
        <v xml:space="preserve"> - </v>
      </c>
      <c r="E13" s="849">
        <f>SUBTOTAL(9,E8:E12)</f>
        <v>10550</v>
      </c>
      <c r="F13" s="850">
        <f>IF(ISNUMBER(E13/B13),E13/B13," - ")</f>
        <v>811.53846153846155</v>
      </c>
      <c r="G13" s="849">
        <f>SUBTOTAL(9,G8:G12)</f>
        <v>5906</v>
      </c>
      <c r="H13" s="850">
        <f>IF(ISNUMBER(G13/B13),G13/B13," - ")</f>
        <v>454.30769230769232</v>
      </c>
      <c r="I13" s="849">
        <f>SUBTOTAL(9,I8:I12)</f>
        <v>18574</v>
      </c>
      <c r="J13" s="850">
        <f>IF(ISNUMBER(I13/B13),I13/B13," - ")</f>
        <v>1428.7692307692307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5</v>
      </c>
      <c r="C15" s="403">
        <f>IF(ISNUMBER(IF(D_I="SI",Datos!I15,Datos!I15+Datos!AC15)),IF(D_I="SI",Datos!I15,Datos!I15+Datos!AC15)," - ")</f>
        <v>2405</v>
      </c>
      <c r="D15" s="404">
        <f>IF(ISNUMBER(C15/Datos!BH15),C15/Datos!BH15," - ")</f>
        <v>481</v>
      </c>
      <c r="E15" s="403">
        <f>IF(ISNUMBER(IF(D_I="SI",Datos!J15,Datos!J15+Datos!AD15)),IF(D_I="SI",Datos!J15,Datos!J15+Datos!AD15)," - ")</f>
        <v>4900</v>
      </c>
      <c r="F15" s="404">
        <f>IF(ISNUMBER(E15/B15),E15/B15," - ")</f>
        <v>980</v>
      </c>
      <c r="G15" s="403">
        <f>IF(ISNUMBER(IF(D_I="SI",Datos!K15,Datos!K15+Datos!AE15)),IF(D_I="SI",Datos!K15,Datos!K15+Datos!AE15)," - ")</f>
        <v>4826</v>
      </c>
      <c r="H15" s="404">
        <f>IF(ISNUMBER(G15/B15),G15/B15," - ")</f>
        <v>965.2</v>
      </c>
      <c r="I15" s="403">
        <f>IF(ISNUMBER(IF(D_I="SI",Datos!L15,Datos!L15+Datos!AF15)),IF(D_I="SI",Datos!L15,Datos!L15+Datos!AF15)," - ")</f>
        <v>2528</v>
      </c>
      <c r="J15" s="404">
        <f>IF(ISNUMBER(I15/B15),I15/B15," - ")</f>
        <v>505.6</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2</v>
      </c>
      <c r="C17" s="403">
        <f>IF(ISNUMBER(IF(D_I="SI",Datos!I17,Datos!I17+Datos!AC17)),IF(D_I="SI",Datos!I17,Datos!I17+Datos!AC17)," - ")</f>
        <v>403</v>
      </c>
      <c r="D17" s="404">
        <f>IF(ISNUMBER(C17/Datos!BH17),C17/Datos!BH17," - ")</f>
        <v>201.5</v>
      </c>
      <c r="E17" s="403">
        <f>IF(ISNUMBER(IF(D_I="SI",Datos!J17,Datos!J17+Datos!AD17)),IF(D_I="SI",Datos!J17,Datos!J17+Datos!AD17)," - ")</f>
        <v>759</v>
      </c>
      <c r="F17" s="404">
        <f>IF(ISNUMBER(E17/B17),E17/B17," - ")</f>
        <v>379.5</v>
      </c>
      <c r="G17" s="403">
        <f>IF(ISNUMBER(IF(D_I="SI",Datos!K17,Datos!K17+Datos!AE17)),IF(D_I="SI",Datos!K17,Datos!K17+Datos!AE17)," - ")</f>
        <v>679</v>
      </c>
      <c r="H17" s="404">
        <f>IF(ISNUMBER(G17/B17),G17/B17," - ")</f>
        <v>339.5</v>
      </c>
      <c r="I17" s="403">
        <f>IF(ISNUMBER(IF(D_I="SI",Datos!L17,Datos!L17+Datos!AF17)),IF(D_I="SI",Datos!L17,Datos!L17+Datos!AF17)," - ")</f>
        <v>483</v>
      </c>
      <c r="J17" s="404">
        <f>IF(ISNUMBER(I17/B17),I17/B17," - ")</f>
        <v>241.5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7</v>
      </c>
      <c r="C18" s="849">
        <f>SUBTOTAL(9,C14:C17)</f>
        <v>2808</v>
      </c>
      <c r="D18" s="850" t="str">
        <f>IF(ISNUMBER(C18/Datos!BI18),C18/Datos!BI18," - ")</f>
        <v xml:space="preserve"> - </v>
      </c>
      <c r="E18" s="849">
        <f>SUBTOTAL(9,E14:E17)</f>
        <v>5659</v>
      </c>
      <c r="F18" s="850">
        <f>IF(ISNUMBER(E18/B18),E18/B18," - ")</f>
        <v>808.42857142857144</v>
      </c>
      <c r="G18" s="849">
        <f>SUBTOTAL(9,G14:G17)</f>
        <v>5505</v>
      </c>
      <c r="H18" s="850">
        <f>IF(ISNUMBER(G18/B18),G18/B18," - ")</f>
        <v>786.42857142857144</v>
      </c>
      <c r="I18" s="849">
        <f>SUBTOTAL(9,I14:I17)</f>
        <v>3011</v>
      </c>
      <c r="J18" s="850">
        <f>IF(ISNUMBER(I18/B18),I18/B18," - ")</f>
        <v>430.14285714285717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18</v>
      </c>
      <c r="C19" s="794">
        <f>SUBTOTAL(9,C9:C18)</f>
        <v>16805</v>
      </c>
      <c r="D19" s="795" t="str">
        <f>IF(ISNUMBER(C19/Datos!BI19),C19/Datos!BI19," - ")</f>
        <v xml:space="preserve"> - </v>
      </c>
      <c r="E19" s="794">
        <f>SUBTOTAL(9,E9:E18)</f>
        <v>16209</v>
      </c>
      <c r="F19" s="795">
        <f>IF(ISNUMBER(E19/B19),E19/B19," - ")</f>
        <v>900.5</v>
      </c>
      <c r="G19" s="794">
        <f>SUBTOTAL(9,G9:G18)</f>
        <v>11411</v>
      </c>
      <c r="H19" s="795">
        <f>IF(ISNUMBER(G19/B19),G19/B19," - ")</f>
        <v>633.94444444444446</v>
      </c>
      <c r="I19" s="794">
        <f>SUBTOTAL(9,I9:I18)</f>
        <v>21585</v>
      </c>
      <c r="J19" s="795">
        <f>IF(ISNUMBER(I19/B19),I19/B19," - ")</f>
        <v>1199.1666666666667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iN160JaZc/P5JgA0M1XDqhM8TXxTQpYvwZeaUoo9THVu1+Wn3mvGIa3H4WP2EvQ1UcEmQB2nID5Zm58vUPnZXw==" saltValue="IfmAxPHVwYJ9Anrf1sPgl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CANARIAS</v>
      </c>
      <c r="W1"/>
      <c r="X1"/>
    </row>
    <row r="2" spans="1:78" ht="16.5" customHeight="1">
      <c r="C2" s="488" t="str">
        <f>Criterios!A10 &amp;"  "&amp;Criterios!B10 &amp; "  " &amp; IF(NOT(ISBLANK(Criterios!A11)),Criterios!A11 &amp;"  "&amp;Criterios!B11,"")</f>
        <v>Provincias  SANTA CRUZ DE TENERIFE  Resumenes por Partidos Judiciales  SANTA CRUZ DE TENERIFE</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9</v>
      </c>
      <c r="B9" s="501" t="s">
        <v>246</v>
      </c>
      <c r="C9" s="160" t="str">
        <f>Datos!A9</f>
        <v xml:space="preserve">Jdos. 1ª Instancia   </v>
      </c>
      <c r="D9" s="502"/>
      <c r="E9" s="682">
        <f>IF(ISNUMBER(Datos!AQ9),Datos!AQ9," - ")</f>
        <v>9</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2</v>
      </c>
      <c r="B10" s="507" t="s">
        <v>246</v>
      </c>
      <c r="C10" s="7" t="str">
        <f>Datos!A10</f>
        <v>Jdos. Violencia contra la mujer</v>
      </c>
      <c r="D10" s="508"/>
      <c r="E10" s="682">
        <f>IF(ISNUMBER(Datos!AQ10),Datos!AQ10," - ")</f>
        <v>2</v>
      </c>
      <c r="F10" s="683">
        <f>IF(ISNUMBER(Datos!L10+Datos!K10-Datos!J10),Datos!L10+Datos!K10-Datos!J10," - ")</f>
        <v>256</v>
      </c>
      <c r="G10" s="684">
        <f>IF(ISNUMBER(Datos!I10),Datos!I10," - ")</f>
        <v>256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4</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41</v>
      </c>
      <c r="AC10" s="683" t="str">
        <f>IF(ISNUMBER(IF(D_I="SI",DatosP!K17,DatosP!K17+DatosP!AE17)),IF(D_I="SI",DatosP!K17,DatosP!K17+DatosP!AE17)," - ")</f>
        <v xml:space="preserve"> - </v>
      </c>
      <c r="AD10" s="685"/>
      <c r="AE10" s="685"/>
      <c r="AF10" s="688">
        <f>IF(ISNUMBER(Datos!L10),Datos!L10,"-")</f>
        <v>271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23</v>
      </c>
      <c r="AM10" s="690">
        <f>IF(ISNUMBER(Datos!N10+DatosP!N17),Datos!N10+DatosP!N17," - ")</f>
        <v>12</v>
      </c>
      <c r="AN10" s="690">
        <f>IF(ISNUMBER(Datos!BW10+DatosP!BW17),Datos!BW10+DatosP!BW17," - ")</f>
        <v>0</v>
      </c>
      <c r="AO10" s="691">
        <f>IF(ISNUMBER(Datos!BX10+DatosP!BX17),Datos!BX10+DatosP!BX17," - ")</f>
        <v>0</v>
      </c>
      <c r="AP10" s="693">
        <f>IF(ISNUMBER(((Datos!L10/Datos!K10)*11)/factor_trimestre),((Datos!L10/Datos!K10)*11)/factor_trimestre," - ")</f>
        <v>19.829268292682926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13</v>
      </c>
      <c r="F13" s="938">
        <f t="shared" si="0"/>
        <v>256</v>
      </c>
      <c r="G13" s="938">
        <f t="shared" si="0"/>
        <v>256</v>
      </c>
      <c r="H13" s="938">
        <f t="shared" si="0"/>
        <v>0</v>
      </c>
      <c r="I13" s="940">
        <f t="shared" si="0"/>
        <v>0</v>
      </c>
      <c r="J13" s="939">
        <f t="shared" si="0"/>
        <v>0</v>
      </c>
      <c r="K13" s="939">
        <f t="shared" si="0"/>
        <v>0</v>
      </c>
      <c r="L13" s="941">
        <f t="shared" si="0"/>
        <v>0</v>
      </c>
      <c r="M13" s="941">
        <f t="shared" si="0"/>
        <v>0</v>
      </c>
      <c r="N13" s="939">
        <f t="shared" si="0"/>
        <v>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41</v>
      </c>
      <c r="AC13" s="939">
        <f t="shared" si="1"/>
        <v>0</v>
      </c>
      <c r="AD13" s="939">
        <f t="shared" si="1"/>
        <v>0</v>
      </c>
      <c r="AE13" s="939">
        <f t="shared" si="1"/>
        <v>0</v>
      </c>
      <c r="AF13" s="939">
        <f t="shared" si="1"/>
        <v>271</v>
      </c>
      <c r="AG13" s="939">
        <f t="shared" si="1"/>
        <v>0</v>
      </c>
      <c r="AH13" s="939">
        <f t="shared" si="1"/>
        <v>0</v>
      </c>
      <c r="AI13" s="939">
        <f t="shared" si="1"/>
        <v>0</v>
      </c>
      <c r="AJ13" s="939">
        <f t="shared" si="1"/>
        <v>0</v>
      </c>
      <c r="AK13" s="939">
        <f t="shared" si="1"/>
        <v>0</v>
      </c>
      <c r="AL13" s="939">
        <f t="shared" si="1"/>
        <v>23</v>
      </c>
      <c r="AM13" s="939">
        <f t="shared" si="1"/>
        <v>12</v>
      </c>
      <c r="AN13" s="939">
        <f t="shared" si="1"/>
        <v>0</v>
      </c>
      <c r="AO13" s="939">
        <f t="shared" si="1"/>
        <v>0</v>
      </c>
      <c r="AP13" s="944">
        <f>IF(ISNUMBER(((Datos!L13/Datos!K13)*11)/factor_trimestre),((Datos!L13/Datos!K13)*11)/factor_trimestre," - ")</f>
        <v>9.5507322175732217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-0.16015625</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5</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2</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1.6408719346049045</v>
      </c>
      <c r="AQ18" s="944">
        <f>IF(ISNUMBER(((Datos!M18/Datos!L18)*11)/factor_trimestre),((Datos!M18/Datos!L18)*11)/factor_trimestre," - ")</f>
        <v>0.60876785121222188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8.0971659919028341E-2</v>
      </c>
      <c r="AW18" s="946">
        <f>IF(ISNUMBER((Datos!Q18-Datos!R18)/(Datos!S18-Datos!Q18+Datos!R18)),(Datos!Q18-Datos!R18)/(Datos!S18-Datos!Q18+Datos!R18)," - ")</f>
        <v>-0.11690468282962471</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13</v>
      </c>
      <c r="F19" s="951">
        <f t="shared" si="4"/>
        <v>256</v>
      </c>
      <c r="G19" s="951">
        <f t="shared" si="4"/>
        <v>256</v>
      </c>
      <c r="H19" s="951">
        <f t="shared" si="4"/>
        <v>0</v>
      </c>
      <c r="I19" s="952">
        <f t="shared" si="4"/>
        <v>0</v>
      </c>
      <c r="J19" s="953">
        <f t="shared" si="4"/>
        <v>0</v>
      </c>
      <c r="K19" s="953">
        <f t="shared" si="4"/>
        <v>0</v>
      </c>
      <c r="L19" s="953">
        <f t="shared" si="4"/>
        <v>0</v>
      </c>
      <c r="M19" s="953">
        <f t="shared" si="4"/>
        <v>0</v>
      </c>
      <c r="N19" s="952">
        <f t="shared" si="4"/>
        <v>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41</v>
      </c>
      <c r="AC19" s="957">
        <f t="shared" si="5"/>
        <v>0</v>
      </c>
      <c r="AD19" s="957">
        <f t="shared" si="5"/>
        <v>0</v>
      </c>
      <c r="AE19" s="957">
        <f t="shared" si="5"/>
        <v>0</v>
      </c>
      <c r="AF19" s="958">
        <f t="shared" si="5"/>
        <v>271</v>
      </c>
      <c r="AG19" s="958">
        <f t="shared" si="5"/>
        <v>0</v>
      </c>
      <c r="AH19" s="958">
        <f t="shared" si="5"/>
        <v>0</v>
      </c>
      <c r="AI19" s="958">
        <f t="shared" si="5"/>
        <v>0</v>
      </c>
      <c r="AJ19" s="959">
        <f t="shared" si="5"/>
        <v>0</v>
      </c>
      <c r="AK19" s="959">
        <f t="shared" si="5"/>
        <v>0</v>
      </c>
      <c r="AL19" s="951">
        <f t="shared" si="5"/>
        <v>23</v>
      </c>
      <c r="AM19" s="951">
        <f t="shared" si="5"/>
        <v>12</v>
      </c>
      <c r="AN19" s="951">
        <f t="shared" si="5"/>
        <v>0</v>
      </c>
      <c r="AO19" s="951">
        <f t="shared" si="5"/>
        <v>0</v>
      </c>
      <c r="AP19" s="951">
        <f>IF(ISNUMBER(((Datos!L19/Datos!K19)*11)/factor_trimestre),((Datos!L19/Datos!K19)*11)/factor_trimestre," - ")</f>
        <v>5.677074993327996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-0.16015625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2.0421106037544393E-2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170.66666666666666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5.3913510984415272</v>
      </c>
      <c r="F21" s="736">
        <f>IF(ISNUMBER(STDEV(F8:F18)),STDEV(F8:F18),"-")</f>
        <v>147.80166891254422</v>
      </c>
      <c r="G21" s="737">
        <f>IF(ISNUMBER(STDEV(G8:G18)),STDEV(G8:G18),"-")</f>
        <v>147.80166891254422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23.671361036774655</v>
      </c>
      <c r="AC21" s="738">
        <f>IF(ISNUMBER(STDEV(AC8:AC18)),STDEV(AC8:AC18),"-")</f>
        <v>0</v>
      </c>
      <c r="AD21" s="741"/>
      <c r="AE21" s="741"/>
      <c r="AF21" s="741"/>
      <c r="AG21" s="741"/>
      <c r="AH21" s="741"/>
      <c r="AI21" s="741"/>
      <c r="AJ21" s="742">
        <f>IF(ISNUMBER(STDEV(AJ8:AJ18)),STDEV(AJ8:AJ18),"-")</f>
        <v>0</v>
      </c>
      <c r="AK21" s="744"/>
      <c r="AL21" s="736">
        <f>IF(ISNUMBER(STDEV(AL8:AL18)),STDEV(AL8:AL18),"-")</f>
        <v>13.279056191361391</v>
      </c>
      <c r="AM21" s="736"/>
      <c r="AN21" s="736">
        <f>IF(ISNUMBER(STDEV(AN8:AN18)),STDEV(AN8:AN18),"-")</f>
        <v>0</v>
      </c>
      <c r="AO21" s="742">
        <f>IF(ISNUMBER(STDEV(AO8:AO18)),STDEV(AO8:AO18),"-")</f>
        <v>0</v>
      </c>
      <c r="AP21" s="779">
        <f>IF(ISNUMBER(STDEV(AP8:AP18)),STDEV(AP8:AP18),"-")</f>
        <v>9.1198680145964559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hOEzc4fBzBk3Igh9diGzCjb0yHRa83t1FM4qyvtE6Xcm8V1kh+LKwsuLoRnEe5YYPUgotW+xO/089++zUIbozw==" saltValue="fZN0X1dMo3PhHYH/Emjz1g=="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CANARIAS</v>
      </c>
      <c r="C2" s="375"/>
      <c r="E2" s="375"/>
      <c r="F2" s="375"/>
      <c r="G2" s="375"/>
      <c r="H2" s="375"/>
    </row>
    <row r="3" spans="1:15" ht="39">
      <c r="A3" s="415" t="s">
        <v>218</v>
      </c>
      <c r="B3" s="391" t="str">
        <f>Criterios!A10 &amp;"  "&amp;Criterios!B10</f>
        <v>Provincias  SANTA CRUZ DE TENERIFE</v>
      </c>
      <c r="C3" s="415"/>
      <c r="F3" s="375"/>
      <c r="G3" s="375"/>
      <c r="H3" s="375"/>
    </row>
    <row r="4" spans="1:15" ht="13.5" thickBot="1">
      <c r="A4" s="375"/>
      <c r="B4" s="391" t="str">
        <f>Criterios!A11 &amp;"  "&amp;Criterios!B11</f>
        <v>Resumenes por Partidos Judiciales  SANTA CRUZ DE TENERIFE</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9</v>
      </c>
      <c r="D9" s="403">
        <f>Datos!BK9</f>
        <v>0</v>
      </c>
      <c r="E9" s="403">
        <f>Datos!AQ9</f>
        <v>9</v>
      </c>
      <c r="F9" s="404">
        <f>IF(ISNUMBER(E9/Datos!BH9),E9/Datos!BH9," - ")</f>
        <v>1.125</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2</v>
      </c>
      <c r="D10" s="403">
        <f>Datos!BK10</f>
        <v>0</v>
      </c>
      <c r="E10" s="403">
        <f>Datos!AQ10</f>
        <v>2</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5</v>
      </c>
      <c r="D15" s="403">
        <f>Datos!BK15</f>
        <v>0</v>
      </c>
      <c r="E15" s="403">
        <f>Datos!AQ15</f>
        <v>5</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2</v>
      </c>
      <c r="D17" s="403">
        <f>Datos!BK17</f>
        <v>0</v>
      </c>
      <c r="E17" s="403">
        <f>Datos!AQ17</f>
        <v>2</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4TR1sMVIvJxV6P7tGTXQA0FGB4NP0lhF5bmLPs/WeiTOWSfbX/VkL4NOjwfhIZHa8sauZbdPfEYNfbRBXc1ycg==" saltValue="XCO0IJyFzUjuYPk3qcVNo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CANARIAS</v>
      </c>
      <c r="C2" s="391"/>
    </row>
    <row r="3" spans="1:78" ht="19.5">
      <c r="A3" s="425" t="s">
        <v>11</v>
      </c>
      <c r="B3" s="391" t="str">
        <f>Criterios!A10 &amp;"  "&amp;Criterios!B10</f>
        <v>Provincias  SANTA CRUZ DE TENERIFE</v>
      </c>
      <c r="C3" s="391"/>
      <c r="D3" s="425"/>
      <c r="BZ3" s="471"/>
    </row>
    <row r="4" spans="1:78" ht="13.5" thickBot="1">
      <c r="B4" s="391" t="str">
        <f>Criterios!A11 &amp;"  "&amp;Criterios!B11</f>
        <v>Resumenes por Partidos Judiciales  SANTA CRUZ DE TENERIFE</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9</v>
      </c>
      <c r="C9" s="410">
        <f>Datos!AQ9</f>
        <v>9</v>
      </c>
      <c r="D9" s="403">
        <f>IF(ISNUMBER(Datos!M9),Datos!M9," - ")</f>
        <v>1320</v>
      </c>
      <c r="E9" s="404">
        <f t="shared" ref="E9:E13" si="0">IF(ISNUMBER(D9/B9),D9/B9," - ")</f>
        <v>146.66666666666666</v>
      </c>
      <c r="F9" s="403">
        <f>IF(ISNUMBER(Datos!N9),Datos!N9," - ")</f>
        <v>2939</v>
      </c>
      <c r="G9" s="404">
        <f t="shared" ref="G9:G13" si="1">IF(ISNUMBER(F9/B9),F9/B9," - ")</f>
        <v>326.55555555555554</v>
      </c>
      <c r="H9" s="403">
        <f>IF(ISNUMBER(Datos!O9),Datos!O9," - ")</f>
        <v>1511</v>
      </c>
      <c r="I9" s="404">
        <f>IF(ISNUMBER(H9/B9),H9/B9," - ")</f>
        <v>167.88888888888889</v>
      </c>
      <c r="BZ9" s="1186">
        <f>Datos!EZ9</f>
        <v>0</v>
      </c>
    </row>
    <row r="10" spans="1:78">
      <c r="A10" s="402" t="str">
        <f>Datos!A10</f>
        <v>Jdos. Violencia contra la mujer</v>
      </c>
      <c r="B10" s="427">
        <f>Datos!AO10</f>
        <v>2</v>
      </c>
      <c r="C10" s="410">
        <f>Datos!AQ10</f>
        <v>2</v>
      </c>
      <c r="D10" s="403">
        <f>IF(ISNUMBER(Datos!M10),Datos!M10," - ")</f>
        <v>23</v>
      </c>
      <c r="E10" s="404">
        <f>IF(ISNUMBER(D10/B10),D10/B10," - ")</f>
        <v>11.5</v>
      </c>
      <c r="F10" s="403">
        <f>IF(ISNUMBER(Datos!N10),Datos!N10," - ")</f>
        <v>12</v>
      </c>
      <c r="G10" s="404">
        <f>IF(ISNUMBER(F10/B10),F10/B10," - ")</f>
        <v>6</v>
      </c>
      <c r="H10" s="403">
        <f>IF(ISNUMBER(Datos!O10),Datos!O10," - ")</f>
        <v>5</v>
      </c>
      <c r="I10" s="404">
        <f t="shared" ref="I10:I12" si="2">IF(ISNUMBER(H10/B10),H10/B10," - ")</f>
        <v>2.5</v>
      </c>
      <c r="BZ10" s="1186">
        <f>Datos!EZ10</f>
        <v>0</v>
      </c>
    </row>
    <row r="11" spans="1:78">
      <c r="A11" s="402" t="str">
        <f>Datos!A11</f>
        <v xml:space="preserve">Jdos. Familia                                   </v>
      </c>
      <c r="B11" s="427">
        <f>Datos!AO11</f>
        <v>2</v>
      </c>
      <c r="C11" s="410">
        <f>Datos!AQ11</f>
        <v>2</v>
      </c>
      <c r="D11" s="403">
        <f>IF(ISNUMBER(Datos!M11),Datos!M11," - ")</f>
        <v>188</v>
      </c>
      <c r="E11" s="404">
        <f t="shared" si="0"/>
        <v>94</v>
      </c>
      <c r="F11" s="403">
        <f>IF(ISNUMBER(Datos!N11),Datos!N11," - ")</f>
        <v>218</v>
      </c>
      <c r="G11" s="404">
        <f t="shared" si="1"/>
        <v>109</v>
      </c>
      <c r="H11" s="403">
        <f>IF(ISNUMBER(Datos!O11),Datos!O11," - ")</f>
        <v>86</v>
      </c>
      <c r="I11" s="404">
        <f t="shared" si="2"/>
        <v>43</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13</v>
      </c>
      <c r="C13" s="851">
        <f>Datos!AR13</f>
        <v>13</v>
      </c>
      <c r="D13" s="849">
        <f>SUBTOTAL(9,D9:D12)</f>
        <v>1531</v>
      </c>
      <c r="E13" s="850">
        <f t="shared" si="0"/>
        <v>117.76923076923077</v>
      </c>
      <c r="F13" s="849">
        <f>SUBTOTAL(9,F9:F12)</f>
        <v>3169</v>
      </c>
      <c r="G13" s="850">
        <f t="shared" si="1"/>
        <v>243.76923076923077</v>
      </c>
      <c r="H13" s="849">
        <f>SUBTOTAL(9,H9:H12)</f>
        <v>1602</v>
      </c>
      <c r="I13" s="850">
        <f>IF(ISNUMBER(H13/B13),H13/B13," - ")</f>
        <v>123.23076923076923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5</v>
      </c>
      <c r="C15" s="428">
        <f>Datos!AQ15</f>
        <v>5</v>
      </c>
      <c r="D15" s="403">
        <f>IF(ISNUMBER(Datos!M15),Datos!M15," - ")</f>
        <v>493</v>
      </c>
      <c r="E15" s="404">
        <f t="shared" ref="E15:E18" si="3">IF(ISNUMBER(D15/B15),D15/B15," - ")</f>
        <v>98.6</v>
      </c>
      <c r="F15" s="403">
        <f>IF(ISNUMBER(Datos!N15),Datos!N15," - ")</f>
        <v>3471</v>
      </c>
      <c r="G15" s="404">
        <f t="shared" ref="G15:G18" si="4">IF(ISNUMBER(F15/B15),F15/B15," - ")</f>
        <v>694.2</v>
      </c>
      <c r="H15" s="403">
        <f>IF(ISNUMBER(Datos!O15),Datos!O15," - ")</f>
        <v>92</v>
      </c>
      <c r="I15" s="404">
        <f t="shared" ref="I15:I17" si="5">IF(ISNUMBER(H15/B15),H15/B15," - ")</f>
        <v>18.399999999999999</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2</v>
      </c>
      <c r="C17" s="428">
        <f>Datos!AQ17</f>
        <v>2</v>
      </c>
      <c r="D17" s="403">
        <f>IF(ISNUMBER(Datos!M17),Datos!M17," - ")</f>
        <v>118</v>
      </c>
      <c r="E17" s="404">
        <f>IF(ISNUMBER(D17/B17),D17/B17," - ")</f>
        <v>59</v>
      </c>
      <c r="F17" s="403">
        <f>IF(ISNUMBER(Datos!N17),Datos!N17," - ")</f>
        <v>384</v>
      </c>
      <c r="G17" s="404">
        <f>IF(ISNUMBER(F17/B17),F17/B17," - ")</f>
        <v>192</v>
      </c>
      <c r="H17" s="403">
        <f>IF(ISNUMBER(Datos!O17),Datos!O17," - ")</f>
        <v>2</v>
      </c>
      <c r="I17" s="404">
        <f t="shared" si="5"/>
        <v>1</v>
      </c>
      <c r="BZ17" s="1186">
        <f>Datos!EZ17</f>
        <v>0</v>
      </c>
    </row>
    <row r="18" spans="1:78" ht="14.25" thickTop="1" thickBot="1">
      <c r="A18" s="848" t="str">
        <f>Datos!A18</f>
        <v>TOTAL</v>
      </c>
      <c r="B18" s="849">
        <f>Datos!AP18</f>
        <v>7</v>
      </c>
      <c r="C18" s="851">
        <f>Datos!AR18</f>
        <v>7</v>
      </c>
      <c r="D18" s="849">
        <f>SUBTOTAL(9,D15:D17)</f>
        <v>611</v>
      </c>
      <c r="E18" s="850">
        <f t="shared" si="3"/>
        <v>87.285714285714292</v>
      </c>
      <c r="F18" s="849">
        <f>SUBTOTAL(9,F15:F17)</f>
        <v>3855</v>
      </c>
      <c r="G18" s="850">
        <f t="shared" si="4"/>
        <v>550.71428571428567</v>
      </c>
      <c r="H18" s="849">
        <f>SUBTOTAL(9,H15:H17)</f>
        <v>94</v>
      </c>
      <c r="I18" s="850">
        <f>IF(ISNUMBER(H18/B18),H18/B18," - ")</f>
        <v>13.428571428571429</v>
      </c>
      <c r="BZ18" s="1186"/>
    </row>
    <row r="19" spans="1:78" ht="14.25" thickTop="1" thickBot="1">
      <c r="A19" s="793" t="str">
        <f>Datos!A19</f>
        <v>TOTAL JURISDICCIONES</v>
      </c>
      <c r="B19" s="794">
        <f>Datos!AP19</f>
        <v>18</v>
      </c>
      <c r="C19" s="794">
        <f>Datos!AR19</f>
        <v>18</v>
      </c>
      <c r="D19" s="794">
        <f>SUBTOTAL(9,D8:D18)</f>
        <v>2142</v>
      </c>
      <c r="E19" s="795">
        <f>IF(ISNUMBER(D19/B19),D19/B19," - ")</f>
        <v>119</v>
      </c>
      <c r="F19" s="794">
        <f>SUBTOTAL(9,F8:F18)</f>
        <v>7024</v>
      </c>
      <c r="G19" s="795">
        <f>IF(ISNUMBER(F19/B19),F19/B19," - ")</f>
        <v>390.22222222222223</v>
      </c>
      <c r="H19" s="794">
        <f>SUBTOTAL(9,H8:H18)</f>
        <v>1696</v>
      </c>
      <c r="I19" s="795">
        <f>IF(ISNUMBER(H19/B19),H19/B19," - ")</f>
        <v>94.222222222222229</v>
      </c>
    </row>
    <row r="22" spans="1:78">
      <c r="A22" s="391" t="str">
        <f>Criterios!A4</f>
        <v>Fecha Informe: 03 jun. 2025</v>
      </c>
    </row>
    <row r="27" spans="1:78">
      <c r="A27" s="414"/>
    </row>
  </sheetData>
  <sheetProtection algorithmName="SHA-512" hashValue="cqE+nAGL8jigCQpwCkwLOoo2B5DF8Kg48td0+XW6qqBoY7aFxWoA1aLz3rHl1cZmnZK3qEKIPXYmtVSEggcFAQ==" saltValue="Mq216G3/sR1Y01JMQBdma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CANARIAS</v>
      </c>
    </row>
    <row r="3" spans="1:4" ht="19.5">
      <c r="A3" s="429" t="s">
        <v>32</v>
      </c>
      <c r="B3" s="391" t="str">
        <f>Criterios!A10 &amp;"  "&amp;Criterios!B10</f>
        <v>Provincias  SANTA CRUZ DE TENERIFE</v>
      </c>
    </row>
    <row r="4" spans="1:4" ht="13.5" thickBot="1">
      <c r="B4" s="391" t="str">
        <f>Criterios!A11 &amp;"  "&amp;Criterios!B11</f>
        <v>Resumenes por Partidos Judiciales  SANTA CRUZ DE TENERIFE</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965</v>
      </c>
      <c r="C9" s="434">
        <f>IF(ISNUMBER(Datos!Q9),Datos!Q9," - ")</f>
        <v>682</v>
      </c>
      <c r="D9" s="408">
        <f>IF(ISNUMBER(Datos!R9),Datos!R9," - ")</f>
        <v>14812</v>
      </c>
    </row>
    <row r="10" spans="1:4">
      <c r="A10" s="402" t="str">
        <f>Datos!A10</f>
        <v>Jdos. Violencia contra la mujer</v>
      </c>
      <c r="B10" s="433">
        <f>IF(ISNUMBER(Datos!P10),Datos!P10," - ")</f>
        <v>4</v>
      </c>
      <c r="C10" s="434">
        <f>IF(ISNUMBER(Datos!Q10),Datos!Q10," - ")</f>
        <v>0</v>
      </c>
      <c r="D10" s="408">
        <f>IF(ISNUMBER(Datos!R10),Datos!R10," - ")</f>
        <v>122</v>
      </c>
    </row>
    <row r="11" spans="1:4">
      <c r="A11" s="402" t="str">
        <f>Datos!A11</f>
        <v xml:space="preserve">Jdos. Familia                                   </v>
      </c>
      <c r="B11" s="433">
        <f>IF(ISNUMBER(Datos!P11),Datos!P11," - ")</f>
        <v>42</v>
      </c>
      <c r="C11" s="434">
        <f>IF(ISNUMBER(Datos!Q11),Datos!Q11," - ")</f>
        <v>47</v>
      </c>
      <c r="D11" s="408">
        <f>IF(ISNUMBER(Datos!R11),Datos!R11," - ")</f>
        <v>622</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1011</v>
      </c>
      <c r="C13" s="853">
        <f>SUBTOTAL(9,C9:C12)</f>
        <v>729</v>
      </c>
      <c r="D13" s="851">
        <f>SUBTOTAL(9,D9:D12)</f>
        <v>15556</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211</v>
      </c>
      <c r="C15" s="434">
        <f>IF(ISNUMBER(Datos!Q15),Datos!Q15," - ")</f>
        <v>172</v>
      </c>
      <c r="D15" s="408">
        <f>IF(ISNUMBER(Datos!R15),Datos!R15," - ")</f>
        <v>515</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11</v>
      </c>
      <c r="C17" s="434">
        <f>IF(ISNUMBER(Datos!Q17),Datos!Q17," - ")</f>
        <v>10</v>
      </c>
      <c r="D17" s="408">
        <f>IF(ISNUMBER(Datos!R17),Datos!R17," - ")</f>
        <v>19</v>
      </c>
    </row>
    <row r="18" spans="1:4" ht="14.25" thickTop="1" thickBot="1">
      <c r="A18" s="848" t="str">
        <f>Datos!A18</f>
        <v>TOTAL</v>
      </c>
      <c r="B18" s="849">
        <f>SUBTOTAL(9,B15:B17)</f>
        <v>222</v>
      </c>
      <c r="C18" s="853">
        <f>SUBTOTAL(9,C15:C17)</f>
        <v>182</v>
      </c>
      <c r="D18" s="851">
        <f>SUBTOTAL(9,D15:D17)</f>
        <v>534</v>
      </c>
    </row>
    <row r="19" spans="1:4" ht="16.5" customHeight="1" thickTop="1" thickBot="1">
      <c r="A19" s="793" t="str">
        <f>Datos!A19</f>
        <v>TOTAL JURISDICCIONES</v>
      </c>
      <c r="B19" s="798">
        <f>SUBTOTAL(9,B8:B18)</f>
        <v>1233</v>
      </c>
      <c r="C19" s="799">
        <f>SUBTOTAL(9,C8:C18)</f>
        <v>911</v>
      </c>
      <c r="D19" s="800">
        <f>SUBTOTAL(9,D8:D18)</f>
        <v>16090</v>
      </c>
    </row>
    <row r="20" spans="1:4" ht="7.5" customHeight="1"/>
    <row r="21" spans="1:4" ht="6" customHeight="1"/>
    <row r="22" spans="1:4">
      <c r="A22" s="391" t="str">
        <f>Criterios!A4</f>
        <v>Fecha Informe: 03 jun. 2025</v>
      </c>
    </row>
    <row r="27" spans="1:4">
      <c r="A27" s="414"/>
    </row>
  </sheetData>
  <sheetProtection algorithmName="SHA-512" hashValue="f8kLhLa2b9usE8YLRLrjMbvoGvQPCosj1qzYDHnGzMFtJ894NWg5u1nM+FZlmTbiOrVyIDuL8Es8abkGHtFgAw==" saltValue="hO9Rwr2JzJIrgdnvYuWaQ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CANARIAS</v>
      </c>
    </row>
    <row r="3" spans="1:11" ht="18.75" customHeight="1">
      <c r="A3" s="429" t="s">
        <v>118</v>
      </c>
      <c r="B3" s="391" t="str">
        <f>Criterios!A10 &amp;"  "&amp;Criterios!B10</f>
        <v>Provincias  SANTA CRUZ DE TENERIFE</v>
      </c>
    </row>
    <row r="4" spans="1:11" ht="10.5" customHeight="1" thickBot="1">
      <c r="B4" s="391" t="str">
        <f>Criterios!A11 &amp;"  "&amp;Criterios!B11</f>
        <v>Resumenes por Partidos Judiciales  SANTA CRUZ DE TENERIFE</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0.31843289689034371</v>
      </c>
      <c r="C9" s="456">
        <f>IF(ISNUMBER(
   IF(J_V="SI",(Datos!J9-Datos!T9)/Datos!T9,(Datos!J9+Datos!Z9-(Datos!T9+Datos!AH9))/(Datos!T9+Datos!AH9))
     ),IF(J_V="SI",(Datos!J9-Datos!T9)/Datos!T9,(Datos!J9+Datos!Z9-(Datos!T9+Datos!AH9))/(Datos!T9+Datos!AH9))," - ")</f>
        <v>0.65953210552513686</v>
      </c>
      <c r="D9" s="456">
        <f>IF(ISNUMBER(
   IF(J_V="SI",(Datos!K9-Datos!U9)/Datos!U9,(Datos!K9+Datos!AA9-(Datos!U9+Datos!AI9))/(Datos!U9+Datos!AI9))
     ),IF(J_V="SI",(Datos!K9-Datos!U9)/Datos!U9,(Datos!K9+Datos!AA9-(Datos!U9+Datos!AI9))/(Datos!U9+Datos!AI9))," - ")</f>
        <v>-5.4176861237329607E-2</v>
      </c>
      <c r="E9" s="456">
        <f>IF(ISNUMBER(
   IF(J_V="SI",(Datos!L9-Datos!V9)/Datos!V9,(Datos!L9+Datos!AB9-(Datos!V9+Datos!AJ9))/(Datos!V9+Datos!AJ9))
     ),IF(J_V="SI",(Datos!L9-Datos!V9)/Datos!V9,(Datos!L9+Datos!AB9-(Datos!V9+Datos!AJ9))/(Datos!V9+Datos!AJ9))," - ")</f>
        <v>0.73490032728354659</v>
      </c>
      <c r="F9" s="456">
        <f>IF(ISNUMBER((Datos!M9-Datos!W9)/Datos!W9),(Datos!M9-Datos!W9)/Datos!W9," - ")</f>
        <v>0.32264529058116231</v>
      </c>
      <c r="G9" s="457">
        <f>IF(ISNUMBER((Datos!N9-Datos!X9)/Datos!X9),(Datos!N9-Datos!X9)/Datos!X9," - ")</f>
        <v>-4.5159194282001297E-2</v>
      </c>
      <c r="H9" s="455">
        <f>IF(ISNUMBER(((NºAsuntos!G9/NºAsuntos!E9)-Datos!BD9)/Datos!BD9),((NºAsuntos!G9/NºAsuntos!E9)-Datos!BD9)/Datos!BD9," - ")</f>
        <v>-0.43006638099154032</v>
      </c>
      <c r="I9" s="456">
        <f>IF(ISNUMBER(((NºAsuntos!I9/NºAsuntos!G9)-Datos!BE9)/Datos!BE9),((NºAsuntos!I9/NºAsuntos!G9)-Datos!BE9)/Datos!BE9," - ")</f>
        <v>0.83427562319224935</v>
      </c>
      <c r="J9" s="461">
        <f>IF(ISNUMBER((('Resol  Asuntos'!D9/NºAsuntos!G9)-Datos!BF9)/Datos!BF9),(('Resol  Asuntos'!D9/NºAsuntos!G9)-Datos!BF9)/Datos!BF9," - ")</f>
        <v>-0.54658552433477547</v>
      </c>
      <c r="K9" s="462">
        <f>IF(ISNUMBER((((NºAsuntos!C9+NºAsuntos!E9)/NºAsuntos!G9)-Datos!BG9)/Datos!BG9),(((NºAsuntos!C9+NºAsuntos!E9)/NºAsuntos!G9)-Datos!BG9)/Datos!BG9," - ")</f>
        <v>0.53149396867631893</v>
      </c>
    </row>
    <row r="10" spans="1:11">
      <c r="A10" s="402" t="str">
        <f>Datos!A10</f>
        <v>Jdos. Violencia contra la mujer</v>
      </c>
      <c r="B10" s="455">
        <f>IF(ISNUMBER((Datos!I10-Datos!S10)/Datos!S10),(Datos!I10-Datos!S10)/Datos!S10," - ")</f>
        <v>0.28643216080402012</v>
      </c>
      <c r="C10" s="456">
        <f>IF(ISNUMBER((Datos!J10-Datos!T10)/Datos!T10),(Datos!J10-Datos!T10)/Datos!T10," - ")</f>
        <v>-0.21126760563380281</v>
      </c>
      <c r="D10" s="456">
        <f>IF(ISNUMBER((Datos!K10-Datos!U10)/Datos!U10),(Datos!K10-Datos!U10)/Datos!U10," - ")</f>
        <v>-6.8181818181818177E-2</v>
      </c>
      <c r="E10" s="456">
        <f>IF(ISNUMBER((Datos!L10-Datos!V10)/Datos!V10),(Datos!L10-Datos!V10)/Datos!V10," - ")</f>
        <v>0.19911504424778761</v>
      </c>
      <c r="F10" s="456">
        <f>IF(ISNUMBER((Datos!M10-Datos!W10)/Datos!W10),(Datos!M10-Datos!W10)/Datos!W10," - ")</f>
        <v>0</v>
      </c>
      <c r="G10" s="457">
        <f>IF(ISNUMBER((Datos!N10-Datos!X10)/Datos!X10),(Datos!N10-Datos!X10)/Datos!X10," - ")</f>
        <v>9.0909090909090912E-2</v>
      </c>
      <c r="H10" s="455">
        <f>IF(ISNUMBER(((NºAsuntos!G10/NºAsuntos!E10)-Datos!BD10)/Datos!BD10),((NºAsuntos!G10/NºAsuntos!E10)-Datos!BD10)/Datos!BD10," - ")</f>
        <v>0.18141233766233769</v>
      </c>
      <c r="I10" s="456">
        <f>IF(ISNUMBER(((NºAsuntos!I10/NºAsuntos!G10)-Datos!BE10)/Datos!BE10),((NºAsuntos!I10/NºAsuntos!G10)-Datos!BE10)/Datos!BE10," - ")</f>
        <v>0.28685516943664996</v>
      </c>
      <c r="J10" s="461">
        <f>IF(ISNUMBER((('Resol  Asuntos'!D10/NºAsuntos!G10)-Datos!BF10)/Datos!BF10),(('Resol  Asuntos'!D10/NºAsuntos!G10)-Datos!BF10)/Datos!BF10," - ")</f>
        <v>7.3170731707317221E-2</v>
      </c>
      <c r="K10" s="462">
        <f>IF(ISNUMBER((((NºAsuntos!C10+NºAsuntos!E10)/NºAsuntos!G10)-Datos!BG10)/Datos!BG10),(((NºAsuntos!C10+NºAsuntos!E10)/NºAsuntos!G10)-Datos!BG10)/Datos!BG10," - ")</f>
        <v>0.24010840108401071</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-0.2029934518241347</v>
      </c>
      <c r="C11" s="456">
        <f>IF(ISNUMBER(
   IF(J_V="SI",(Datos!J11-Datos!T11)/Datos!T11,(Datos!J11+Datos!Z11-(Datos!T11+Datos!AH11))/(Datos!T11+Datos!AH11))
     ),IF(J_V="SI",(Datos!J11-Datos!T11)/Datos!T11,(Datos!J11+Datos!Z11-(Datos!T11+Datos!AH11))/(Datos!T11+Datos!AH11))," - ")</f>
        <v>0.17985611510791366</v>
      </c>
      <c r="D11" s="456">
        <f>IF(ISNUMBER(
   IF(J_V="SI",(Datos!K11-Datos!U11)/Datos!U11,(Datos!K11+Datos!AA11-(Datos!U11+Datos!AI11))/(Datos!U11+Datos!AI11))
     ),IF(J_V="SI",(Datos!K11-Datos!U11)/Datos!U11,(Datos!K11+Datos!AA11-(Datos!U11+Datos!AI11))/(Datos!U11+Datos!AI11))," - ")</f>
        <v>-9.2184368737474945E-2</v>
      </c>
      <c r="E11" s="456">
        <f>IF(ISNUMBER(
   IF(J_V="SI",(Datos!L11-Datos!V11)/Datos!V11,(Datos!L11+Datos!AB11-(Datos!V11+Datos!AJ11))/(Datos!V11+Datos!AJ11))
     ),IF(J_V="SI",(Datos!L11-Datos!V11)/Datos!V11,(Datos!L11+Datos!AB11-(Datos!V11+Datos!AJ11))/(Datos!V11+Datos!AJ11))," - ")</f>
        <v>-0.14646996838777659</v>
      </c>
      <c r="F11" s="456">
        <f>IF(ISNUMBER((Datos!M11-Datos!W11)/Datos!W11),(Datos!M11-Datos!W11)/Datos!W11," - ")</f>
        <v>0</v>
      </c>
      <c r="G11" s="457">
        <f>IF(ISNUMBER((Datos!N11-Datos!X11)/Datos!X11),(Datos!N11-Datos!X11)/Datos!X11," - ")</f>
        <v>-0.22419928825622776</v>
      </c>
      <c r="H11" s="455">
        <f>IF(ISNUMBER(((NºAsuntos!G11/NºAsuntos!E11)-Datos!BD11)/Datos!BD11),((NºAsuntos!G11/NºAsuntos!E11)-Datos!BD11)/Datos!BD11," - ")</f>
        <v>-0.2305708978933477</v>
      </c>
      <c r="I11" s="456">
        <f>IF(ISNUMBER(((NºAsuntos!I11/NºAsuntos!G11)-Datos!BE11)/Datos!BE11),((NºAsuntos!I11/NºAsuntos!G11)-Datos!BE11)/Datos!BE11," - ")</f>
        <v>-5.9798044647904024E-2</v>
      </c>
      <c r="J11" s="461">
        <f>IF(ISNUMBER((('Resol  Asuntos'!D11/NºAsuntos!G11)-Datos!BF11)/Datos!BF11),(('Resol  Asuntos'!D11/NºAsuntos!G11)-Datos!BF11)/Datos!BF11," - ")</f>
        <v>-0.2630231041769775</v>
      </c>
      <c r="K11" s="462">
        <f>IF(ISNUMBER((((NºAsuntos!C11+NºAsuntos!E11)/NºAsuntos!G11)-Datos!BG11)/Datos!BG11),(((NºAsuntos!C11+NºAsuntos!E11)/NºAsuntos!G11)-Datos!BG11)/Datos!BG11," - ")</f>
        <v>-3.7168094266130805E-3</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0.26738500543281418</v>
      </c>
      <c r="C13" s="855">
        <f>IF(ISNUMBER(
   IF(J_V="SI",(Datos!J13-Datos!T13)/Datos!T13,(Datos!J13+Datos!Z13-(Datos!T13+Datos!AH13))/(Datos!T13+Datos!AH13))
     ),IF(J_V="SI",(Datos!J13-Datos!T13)/Datos!T13,(Datos!J13+Datos!Z13-(Datos!T13+Datos!AH13))/(Datos!T13+Datos!AH13))," - ")</f>
        <v>0.61933998465080586</v>
      </c>
      <c r="D13" s="855">
        <f>IF(ISNUMBER(
   IF(J_V="SI",(Datos!K13-Datos!U13)/Datos!U13,(Datos!K13+Datos!AA13-(Datos!U13+Datos!AI13))/(Datos!U13+Datos!AI13))
     ),IF(J_V="SI",(Datos!K13-Datos!U13)/Datos!U13,(Datos!K13+Datos!AA13-(Datos!U13+Datos!AI13))/(Datos!U13+Datos!AI13))," - ")</f>
        <v>-5.73024740622506E-2</v>
      </c>
      <c r="E13" s="855">
        <f>IF(ISNUMBER(
   IF(J_V="SI",(Datos!L13-Datos!V13)/Datos!V13,(Datos!L13+Datos!AB13-(Datos!V13+Datos!AJ13))/(Datos!V13+Datos!AJ13))
     ),IF(J_V="SI",(Datos!L13-Datos!V13)/Datos!V13,(Datos!L13+Datos!AB13-(Datos!V13+Datos!AJ13))/(Datos!V13+Datos!AJ13))," - ")</f>
        <v>0.64984899626931958</v>
      </c>
      <c r="F13" s="856">
        <f>IF(ISNUMBER((Datos!M13-Datos!W13)/Datos!W13),(Datos!M13-Datos!W13)/Datos!W13," - ")</f>
        <v>0.26633581472291151</v>
      </c>
      <c r="G13" s="857">
        <f>IF(ISNUMBER((Datos!N13-Datos!X13)/Datos!X13),(Datos!N13-Datos!X13)/Datos!X13," - ")</f>
        <v>-5.964391691394659E-2</v>
      </c>
      <c r="H13" s="857">
        <f>IF(ISNUMBER(((NºAsuntos!G13/NºAsuntos!E13)-Datos!BD13)/Datos!BD13),((NºAsuntos!G13/NºAsuntos!E13)-Datos!BD13)/Datos!BD13," - ")</f>
        <v>-0.41785076952754152</v>
      </c>
      <c r="I13" s="857">
        <f>IF(ISNUMBER(((NºAsuntos!I13/NºAsuntos!G13)-Datos!BE13)/Datos!BE13),((NºAsuntos!I13/NºAsuntos!G13)-Datos!BE13)/Datos!BE13," - ")</f>
        <v>0.75013612624911741</v>
      </c>
      <c r="J13" s="857">
        <f>IF(ISNUMBER((('Resol  Asuntos'!D13/NºAsuntos!G13)-Datos!BF13)/Datos!BF13),(('Resol  Asuntos'!D13/NºAsuntos!G13)-Datos!BF13)/Datos!BF13," - ")</f>
        <v>-0.51979218880137334</v>
      </c>
      <c r="K13" s="857">
        <f>IF(ISNUMBER((((NºAsuntos!C13+NºAsuntos!E13)/NºAsuntos!G13)-Datos!BG13)/Datos!BG13),(((NºAsuntos!C13+NºAsuntos!E13)/NºAsuntos!G13)-Datos!BG13)/Datos!BG13," - ")</f>
        <v>0.48294920822984361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6.6992014196983141E-2</v>
      </c>
      <c r="C15" s="456">
        <f>IF(ISNUMBER(
   IF(D_I="SI",(Datos!J15-Datos!T15)/Datos!T15,(Datos!J15+Datos!AD15-(Datos!T15+Datos!AL15))/(Datos!T15+Datos!AL15))
     ),IF(D_I="SI",(Datos!J15-Datos!T15)/Datos!T15,(Datos!J15+Datos!AD15-(Datos!T15+Datos!AL15))/(Datos!T15+Datos!AL15))," - ")</f>
        <v>6.940200785683108E-2</v>
      </c>
      <c r="D15" s="456">
        <f>IF(ISNUMBER(
   IF(D_I="SI",(Datos!K15-Datos!U15)/Datos!U15,(Datos!K15+Datos!AE15-(Datos!U15+Datos!AM15))/(Datos!U15+Datos!AM15))
     ),IF(D_I="SI",(Datos!K15-Datos!U15)/Datos!U15,(Datos!K15+Datos!AE15-(Datos!U15+Datos!AM15))/(Datos!U15+Datos!AM15))," - ")</f>
        <v>6.0193321616871708E-2</v>
      </c>
      <c r="E15" s="456">
        <f>IF(ISNUMBER(
   IF(D_I="SI",(Datos!L15-Datos!V15)/Datos!V15,(Datos!L15+Datos!AF15-(Datos!V15+Datos!AN15))/(Datos!V15+Datos!AN15))
     ),IF(D_I="SI",(Datos!L15-Datos!V15)/Datos!V15,(Datos!L15+Datos!AF15-(Datos!V15+Datos!AN15))/(Datos!V15+Datos!AN15))," - ")</f>
        <v>8.5910652920962199E-2</v>
      </c>
      <c r="F15" s="456">
        <f>IF(ISNUMBER((Datos!M15-Datos!W15)/Datos!W15),(Datos!M15-Datos!W15)/Datos!W15," - ")</f>
        <v>-0.10849909584086799</v>
      </c>
      <c r="G15" s="457">
        <f>IF(ISNUMBER((Datos!N15-Datos!X15)/Datos!X15),(Datos!N15-Datos!X15)/Datos!X15," - ")</f>
        <v>6.0819070904645479E-2</v>
      </c>
      <c r="H15" s="455">
        <f>IF(ISNUMBER(((NºAsuntos!G15/NºAsuntos!E15)-Datos!BD15)/Datos!BD15),((NºAsuntos!G15/NºAsuntos!E15)-Datos!BD15)/Datos!BD15," - ")</f>
        <v>-8.6110612962231933E-3</v>
      </c>
      <c r="I15" s="456">
        <f>IF(ISNUMBER(((NºAsuntos!I15/NºAsuntos!G15)-Datos!BE15)/Datos!BE15),((NºAsuntos!I15/NºAsuntos!G15)-Datos!BE15)/Datos!BE15," - ")</f>
        <v>2.4257209302988043E-2</v>
      </c>
      <c r="J15" s="461">
        <f>IF(ISNUMBER((('Resol  Asuntos'!D15/NºAsuntos!G15)-Datos!BF15)/Datos!BF15),(('Resol  Asuntos'!D15/NºAsuntos!G15)-Datos!BF15)/Datos!BF15," - ")</f>
        <v>-0.1591147708801556</v>
      </c>
      <c r="K15" s="462">
        <f>IF(ISNUMBER((((NºAsuntos!C15+NºAsuntos!E15)/NºAsuntos!G15)-Datos!BG15)/Datos!BG15),(((NºAsuntos!C15+NºAsuntos!E15)/NºAsuntos!G15)-Datos!BG15)/Datos!BG15," - ")</f>
        <v>7.9363366512140172E-3</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-4.9382716049382715E-3</v>
      </c>
      <c r="C17" s="456">
        <f>IF(ISNUMBER(
   IF(D_I="SI",(Datos!J17-Datos!T17)/Datos!T17,(Datos!J17+Datos!AD17-(Datos!T17+Datos!AL17))/(Datos!T17+Datos!AL17))
     ),IF(D_I="SI",(Datos!J17-Datos!T17)/Datos!T17,(Datos!J17+Datos!AD17-(Datos!T17+Datos!AL17))/(Datos!T17+Datos!AL17))," - ")</f>
        <v>0.24222585924713586</v>
      </c>
      <c r="D17" s="456">
        <f>IF(ISNUMBER(
   IF(D_I="SI",(Datos!K17-Datos!U17)/Datos!U17,(Datos!K17+Datos!AE17-(Datos!U17+Datos!AM17))/(Datos!U17+Datos!AM17))
     ),IF(D_I="SI",(Datos!K17-Datos!U17)/Datos!U17,(Datos!K17+Datos!AE17-(Datos!U17+Datos!AM17))/(Datos!U17+Datos!AM17))," - ")</f>
        <v>8.98876404494382E-2</v>
      </c>
      <c r="E17" s="456">
        <f>IF(ISNUMBER(
   IF(D_I="SI",(Datos!L17-Datos!V17)/Datos!V17,(Datos!L17+Datos!AF17-(Datos!V17+Datos!AN17))/(Datos!V17+Datos!AN17))
     ),IF(D_I="SI",(Datos!L17-Datos!V17)/Datos!V17,(Datos!L17+Datos!AF17-(Datos!V17+Datos!AN17))/(Datos!V17+Datos!AN17))," - ")</f>
        <v>0.22900763358778625</v>
      </c>
      <c r="F17" s="456">
        <f>IF(ISNUMBER((Datos!M17-Datos!W17)/Datos!W17),(Datos!M17-Datos!W17)/Datos!W17," - ")</f>
        <v>8.5470085470085479E-3</v>
      </c>
      <c r="G17" s="457">
        <f>IF(ISNUMBER((Datos!N17-Datos!X17)/Datos!X17),(Datos!N17-Datos!X17)/Datos!X17," - ")</f>
        <v>6.0773480662983423E-2</v>
      </c>
      <c r="H17" s="455">
        <f>IF(ISNUMBER(((NºAsuntos!G17/NºAsuntos!E17)-Datos!BD17)/Datos!BD17),((NºAsuntos!G17/NºAsuntos!E17)-Datos!BD17)/Datos!BD17," - ")</f>
        <v>-0.12263326967772502</v>
      </c>
      <c r="I17" s="456">
        <f>IF(ISNUMBER(((NºAsuntos!I17/NºAsuntos!G17)-Datos!BE17)/Datos!BE17),((NºAsuntos!I17/NºAsuntos!G17)-Datos!BE17)/Datos!BE17," - ")</f>
        <v>0.1276461792712679</v>
      </c>
      <c r="J17" s="461">
        <f>IF(ISNUMBER((('Resol  Asuntos'!D17/NºAsuntos!G17)-Datos!BF17)/Datos!BF17),(('Resol  Asuntos'!D17/NºAsuntos!G17)-Datos!BF17)/Datos!BF17," - ")</f>
        <v>-7.4632126178517916E-2</v>
      </c>
      <c r="K17" s="462">
        <f>IF(ISNUMBER((((NºAsuntos!C17+NºAsuntos!E17)/NºAsuntos!G17)-Datos!BG17)/Datos!BG17),(((NºAsuntos!C17+NºAsuntos!E17)/NºAsuntos!G17)-Datos!BG17)/Datos!BG17," - ")</f>
        <v>4.9374949265362345E-2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5.6036103798420459E-2</v>
      </c>
      <c r="C18" s="855">
        <f>IF(ISNUMBER(
   IF(Criterios!B14="SI",(Datos!J18-Datos!T18)/Datos!T18,(Datos!J18+Datos!AD18-(Datos!T18+Datos!AL18))/(Datos!T18+Datos!AL18))
     ),IF(Criterios!B14="SI",(Datos!J18-Datos!T18)/Datos!T18,(Datos!J18+Datos!AD18-(Datos!T18+Datos!AL18))/(Datos!T18+Datos!AL18))," - ")</f>
        <v>8.9736183323704991E-2</v>
      </c>
      <c r="D18" s="855">
        <f>IF(ISNUMBER(
   IF(Criterios!B14="SI",(Datos!K18-Datos!U18)/Datos!U18,(Datos!K18+Datos!AE18-(Datos!U18+Datos!AM18))/(Datos!U18+Datos!AM18))
     ),IF(Criterios!B14="SI",(Datos!K18-Datos!U18)/Datos!U18,(Datos!K18+Datos!AE18-(Datos!U18+Datos!AM18))/(Datos!U18+Datos!AM18))," - ")</f>
        <v>6.3768115942028983E-2</v>
      </c>
      <c r="E18" s="855">
        <f>IF(ISNUMBER(
   IF(Criterios!B14="SI",(Datos!L18-Datos!V18)/Datos!V18,(Datos!L18+Datos!AF18-(Datos!V18+Datos!AN18))/(Datos!V18+Datos!AN18))
     ),IF(Criterios!B14="SI",(Datos!L18-Datos!V18)/Datos!V18,(Datos!L18+Datos!AF18-(Datos!V18+Datos!AN18))/(Datos!V18+Datos!AN18))," - ")</f>
        <v>0.10657846380007351</v>
      </c>
      <c r="F18" s="856">
        <f>IF(ISNUMBER((Datos!M18-Datos!W18)/Datos!W18),(Datos!M18-Datos!W18)/Datos!W18," - ")</f>
        <v>-8.8059701492537307E-2</v>
      </c>
      <c r="G18" s="857">
        <f>IF(ISNUMBER((Datos!N18-Datos!X18)/Datos!X18),(Datos!N18-Datos!X18)/Datos!X18," - ")</f>
        <v>6.081452944413869E-2</v>
      </c>
      <c r="H18" s="857">
        <f>IF(ISNUMBER(((NºAsuntos!G18/NºAsuntos!E18)-Datos!BD18)/Datos!BD18),((NºAsuntos!G18/NºAsuntos!E18)-Datos!BD18)/Datos!BD18," - ")</f>
        <v>-2.3829682614073845E-2</v>
      </c>
      <c r="I18" s="857">
        <f>IF(ISNUMBER(((NºAsuntos!I18/NºAsuntos!G18)-Datos!BE18)/Datos!BE18),((NºAsuntos!I18/NºAsuntos!G18)-Datos!BE18)/Datos!BE18," - ")</f>
        <v>4.0244059975545837E-2</v>
      </c>
      <c r="J18" s="857">
        <f>IF(ISNUMBER((('Resol  Asuntos'!D18/NºAsuntos!G18)-Datos!BF18)/Datos!BF18),(('Resol  Asuntos'!D18/NºAsuntos!G18)-Datos!BF18)/Datos!BF18," - ")</f>
        <v>-0.14272642238399275</v>
      </c>
      <c r="K18" s="857">
        <f>IF(ISNUMBER((((NºAsuntos!C18+NºAsuntos!E18)/NºAsuntos!G18)-Datos!BG18)/Datos!BG18),(((NºAsuntos!C18+NºAsuntos!E18)/NºAsuntos!G18)-Datos!BG18)/Datos!BG18," - ")</f>
        <v>1.368331850404131E-2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0.22637378676202291</v>
      </c>
      <c r="C19" s="802">
        <f>IF(ISNUMBER(
   IF(J_V="SI",(Datos!J19-Datos!T19)/Datos!T19,(Datos!J19+Datos!Z19-(Datos!T19+Datos!AH19))/(Datos!T19+Datos!AH19))
     ),IF(J_V="SI",(Datos!J19-Datos!T19)/Datos!T19,(Datos!J19+Datos!Z19-(Datos!T19+Datos!AH19))/(Datos!T19+Datos!AH19))," - ")</f>
        <v>0.38443799111718485</v>
      </c>
      <c r="D19" s="802">
        <f>IF(ISNUMBER(
   IF(J_V="SI",(Datos!K19-Datos!U19)/Datos!U19,(Datos!K19+Datos!AA19-(Datos!U19+Datos!AI19))/(Datos!U19+Datos!AI19))
     ),IF(J_V="SI",(Datos!K19-Datos!U19)/Datos!U19,(Datos!K19+Datos!AA19-(Datos!U19+Datos!AI19))/(Datos!U19+Datos!AI19))," - ")</f>
        <v>-2.5349650349650349E-3</v>
      </c>
      <c r="E19" s="802">
        <f>IF(ISNUMBER(
   IF(J_V="SI",(Datos!L19-Datos!V19)/Datos!V19,(Datos!L19+Datos!AB19-(Datos!V19+Datos!AJ19))/(Datos!V19+Datos!AJ19))
     ),IF(J_V="SI",(Datos!L19-Datos!V19)/Datos!V19,(Datos!L19+Datos!AB19-(Datos!V19+Datos!AJ19))/(Datos!V19+Datos!AJ19))," - ")</f>
        <v>0.54410186708634378</v>
      </c>
      <c r="F19" s="803">
        <f>IF(ISNUMBER((Datos!M19-Datos!W19)/Datos!W19),(Datos!M19-Datos!W19)/Datos!W19," - ")</f>
        <v>0.13996806812134113</v>
      </c>
      <c r="G19" s="804">
        <f>IF(ISNUMBER((Datos!N19-Datos!X19)/Datos!X19),(Datos!N19-Datos!X19)/Datos!X19," - ")</f>
        <v>2.8555111364934323E-3</v>
      </c>
      <c r="H19" s="805">
        <f>IF(ISNUMBER((Tasas!B19-Datos!BD19)/Datos!BD19),(Tasas!B19-Datos!BD19)/Datos!BD19," - ")</f>
        <v>-0.27951627926641803</v>
      </c>
      <c r="I19" s="806">
        <f>IF(ISNUMBER((Tasas!C19-Datos!BE19)/Datos!BE19),(Tasas!C19-Datos!BE19)/Datos!BE19," - ")</f>
        <v>0.54802605901917201</v>
      </c>
      <c r="J19" s="807">
        <f>IF(ISNUMBER((Tasas!D19-Datos!BF19)/Datos!BF19),(Tasas!D19-Datos!BF19)/Datos!BF19," - ")</f>
        <v>-0.47002870318840784</v>
      </c>
      <c r="K19" s="807">
        <f>IF(ISNUMBER((Tasas!E19-Datos!BG19)/Datos!BG19),(Tasas!E19-Datos!BG19)/Datos!BG19," - ")</f>
        <v>0.30250293275992507</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voLXzQ2pNLeiisaVkaXlMft/79zzxJS3NQnExHWYYyLADfGSsYIymkD7TEJTcz/RlHrTwfbswIQYL7hnMQS/cQ==" saltValue="X6OCQbK+Ei9avyphd1hfY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CANARIAS</v>
      </c>
    </row>
    <row r="3" spans="1:7" ht="19.5">
      <c r="A3" s="436" t="s">
        <v>12</v>
      </c>
      <c r="B3" s="391" t="str">
        <f>Criterios!A10 &amp;"  "&amp;Criterios!B10</f>
        <v>Provincias  SANTA CRUZ DE TENERIFE</v>
      </c>
    </row>
    <row r="4" spans="1:7" ht="11.25" customHeight="1" thickBot="1">
      <c r="B4" s="391" t="str">
        <f>Criterios!A11 &amp;"  "&amp;Criterios!B11</f>
        <v>Resumenes por Partidos Judiciales  SANTA CRUZ DE TENERIFE</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0.54109178164367122</v>
      </c>
      <c r="C9" s="443">
        <f>IF(ISNUMBER(NºAsuntos!I9/NºAsuntos!G9),NºAsuntos!I9/NºAsuntos!G9," - ")</f>
        <v>3.2322616407982263</v>
      </c>
      <c r="D9" s="444">
        <f>IF(ISNUMBER('Resol  Asuntos'!D9/NºAsuntos!G9),'Resol  Asuntos'!D9/NºAsuntos!G9," - ")</f>
        <v>0.24390243902439024</v>
      </c>
      <c r="E9" s="445">
        <f>IF(ISNUMBER((NºAsuntos!C9+NºAsuntos!E9)/NºAsuntos!G9),(NºAsuntos!C9+NºAsuntos!E9)/NºAsuntos!G9," - ")</f>
        <v>4.2296747967479673</v>
      </c>
      <c r="G9" s="463"/>
    </row>
    <row r="10" spans="1:7">
      <c r="A10" s="402" t="str">
        <f>Datos!A10</f>
        <v>Jdos. Violencia contra la mujer</v>
      </c>
      <c r="B10" s="442">
        <f>IF(ISNUMBER(NºAsuntos!G10/NºAsuntos!E10),NºAsuntos!G10/NºAsuntos!E10," - ")</f>
        <v>0.7321428571428571</v>
      </c>
      <c r="C10" s="443">
        <f>IF(ISNUMBER(NºAsuntos!I10/NºAsuntos!G10),NºAsuntos!I10/NºAsuntos!G10," - ")</f>
        <v>6.6097560975609753</v>
      </c>
      <c r="D10" s="444">
        <f>IF(ISNUMBER('Resol  Asuntos'!D10/NºAsuntos!G10),'Resol  Asuntos'!D10/NºAsuntos!G10," - ")</f>
        <v>0.56097560975609762</v>
      </c>
      <c r="E10" s="445">
        <f>IF(ISNUMBER((NºAsuntos!C10+NºAsuntos!E10)/NºAsuntos!G10),(NºAsuntos!C10+NºAsuntos!E10)/NºAsuntos!G10," - ")</f>
        <v>7.6097560975609753</v>
      </c>
      <c r="G10" s="463"/>
    </row>
    <row r="11" spans="1:7">
      <c r="A11" s="402" t="str">
        <f>Datos!A11</f>
        <v xml:space="preserve">Jdos. Familia                                   </v>
      </c>
      <c r="B11" s="442">
        <f>IF(ISNUMBER(NºAsuntos!G11/NºAsuntos!E11),NºAsuntos!G11/NºAsuntos!E11," - ")</f>
        <v>0.92073170731707321</v>
      </c>
      <c r="C11" s="443">
        <f>IF(ISNUMBER(NºAsuntos!I11/NºAsuntos!G11),NºAsuntos!I11/NºAsuntos!G11," - ")</f>
        <v>1.7880794701986755</v>
      </c>
      <c r="D11" s="444">
        <f>IF(ISNUMBER('Resol  Asuntos'!D11/NºAsuntos!G11),'Resol  Asuntos'!D11/NºAsuntos!G11," - ")</f>
        <v>0.41501103752759383</v>
      </c>
      <c r="E11" s="445">
        <f>IF(ISNUMBER((NºAsuntos!C11+NºAsuntos!E11)/NºAsuntos!G11),(NºAsuntos!C11+NºAsuntos!E11)/NºAsuntos!G11," - ")</f>
        <v>2.9668874172185431</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0.55981042654028434</v>
      </c>
      <c r="C13" s="859">
        <f>IF(ISNUMBER(NºAsuntos!I13/NºAsuntos!G13),NºAsuntos!I13/NºAsuntos!G13," - ")</f>
        <v>3.1449373518455808</v>
      </c>
      <c r="D13" s="860">
        <f>IF(ISNUMBER('Resol  Asuntos'!D13/NºAsuntos!G13),'Resol  Asuntos'!D13/NºAsuntos!G13," - ")</f>
        <v>0.25922790382661698</v>
      </c>
      <c r="E13" s="861">
        <f>IF(ISNUMBER((NºAsuntos!C13+NºAsuntos!E13)/NºAsuntos!G13),(NºAsuntos!C13+NºAsuntos!E13)/NºAsuntos!G13," - ")</f>
        <v>4.1562817473755507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0.98489795918367351</v>
      </c>
      <c r="C15" s="443">
        <f>IF(ISNUMBER(NºAsuntos!I15/NºAsuntos!G15),NºAsuntos!I15/NºAsuntos!G15," - ")</f>
        <v>0.52382925818483217</v>
      </c>
      <c r="D15" s="444">
        <f>IF(ISNUMBER('Resol  Asuntos'!D15/NºAsuntos!G15),'Resol  Asuntos'!D15/NºAsuntos!G15," - ")</f>
        <v>0.10215499378367178</v>
      </c>
      <c r="E15" s="445">
        <f>IF(ISNUMBER((NºAsuntos!C15+NºAsuntos!E15)/NºAsuntos!G15),(NºAsuntos!C15+NºAsuntos!E15)/NºAsuntos!G15," - ")</f>
        <v>1.5136759220886862</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0.8945981554677207</v>
      </c>
      <c r="C17" s="443">
        <f>IF(ISNUMBER(NºAsuntos!I17/NºAsuntos!G17),NºAsuntos!I17/NºAsuntos!G17," - ")</f>
        <v>0.71134020618556704</v>
      </c>
      <c r="D17" s="444">
        <f>IF(ISNUMBER('Resol  Asuntos'!D17/NºAsuntos!G17),'Resol  Asuntos'!D17/NºAsuntos!G17," - ")</f>
        <v>0.17378497790868924</v>
      </c>
      <c r="E17" s="445">
        <f>IF(ISNUMBER((NºAsuntos!C17+NºAsuntos!E17)/NºAsuntos!G17),(NºAsuntos!C17+NºAsuntos!E17)/NºAsuntos!G17," - ")</f>
        <v>1.7113402061855669</v>
      </c>
      <c r="G17" s="463"/>
    </row>
    <row r="18" spans="1:7" ht="14.25" thickTop="1" thickBot="1">
      <c r="A18" s="848" t="str">
        <f>Datos!A18</f>
        <v>TOTAL</v>
      </c>
      <c r="B18" s="858">
        <f>IF(ISNUMBER(NºAsuntos!G18/NºAsuntos!E18),NºAsuntos!G18/NºAsuntos!E18," - ")</f>
        <v>0.97278671143311535</v>
      </c>
      <c r="C18" s="859">
        <f>IF(ISNUMBER(NºAsuntos!I18/NºAsuntos!G18),NºAsuntos!I18/NºAsuntos!G18," - ")</f>
        <v>0.54695731153496818</v>
      </c>
      <c r="D18" s="862">
        <f>IF(ISNUMBER('Resol  Asuntos'!D18/NºAsuntos!G18),'Resol  Asuntos'!D18/NºAsuntos!G18," - ")</f>
        <v>0.11099000908265214</v>
      </c>
      <c r="E18" s="861">
        <f>IF(ISNUMBER((NºAsuntos!C18+NºAsuntos!E18)/NºAsuntos!G18),(NºAsuntos!C18+NºAsuntos!E18)/NºAsuntos!G18," - ")</f>
        <v>1.5380563124432334</v>
      </c>
      <c r="G18" s="463"/>
    </row>
    <row r="19" spans="1:7" ht="15.75" customHeight="1" thickTop="1" thickBot="1">
      <c r="A19" s="793" t="str">
        <f>Datos!A19</f>
        <v>TOTAL JURISDICCIONES</v>
      </c>
      <c r="B19" s="808">
        <f>IF(ISNUMBER(NºAsuntos!G19/NºAsuntos!E19),NºAsuntos!G19/NºAsuntos!E19," - ")</f>
        <v>0.70399160959960516</v>
      </c>
      <c r="C19" s="809">
        <f>IF(ISNUMBER(NºAsuntos!I19/NºAsuntos!G19),NºAsuntos!I19/NºAsuntos!G19," - ")</f>
        <v>1.8915958285864516</v>
      </c>
      <c r="D19" s="810">
        <f>IF(ISNUMBER('Resol  Asuntos'!D19/NºAsuntos!G19),'Resol  Asuntos'!D19/NºAsuntos!G19," - ")</f>
        <v>0.18771360967487513</v>
      </c>
      <c r="E19" s="811">
        <f>IF(ISNUMBER((NºAsuntos!C19+NºAsuntos!E19)/NºAsuntos!G19),(NºAsuntos!C19+NºAsuntos!E19)/NºAsuntos!G19," - ")</f>
        <v>2.893173253877837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6FY16Sf5pDrT0h/ghj9uwtuRSNU9XKcqdyCcU7mClcZ9Dhdy44M6FquQXkshLG6b6VqZkKccMpW0e7ZDBQwI0Q==" saltValue="sUjka3ZgkAADk8h/17D/+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CANARIAS</v>
      </c>
      <c r="G2" s="263"/>
      <c r="H2" s="262"/>
      <c r="I2" s="262"/>
      <c r="J2" s="262"/>
      <c r="K2" s="262"/>
      <c r="L2" s="262" t="str">
        <f>Criterios!A10 &amp;"  "&amp;Criterios!B10</f>
        <v>Provincias  SANTA CRUZ DE TENERIFE</v>
      </c>
      <c r="N2" s="262" t="str">
        <f>Criterios!A11 &amp;"  "&amp;Criterios!B11</f>
        <v>Resumenes por Partidos Judiciales  SANTA CRUZ DE TENERIFE</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9</v>
      </c>
      <c r="B9" s="177" t="s">
        <v>246</v>
      </c>
      <c r="C9" s="160" t="str">
        <f>Datos!A9</f>
        <v xml:space="preserve">Jdos. 1ª Instancia   </v>
      </c>
      <c r="D9" s="160"/>
      <c r="E9" s="1025">
        <f>IF(ISNUMBER(Datos!AQ9),Datos!AQ9," - ")</f>
        <v>9</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965</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682</v>
      </c>
      <c r="Y9" s="334">
        <f>SUM(W9:X9)</f>
        <v>682</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14812</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1320</v>
      </c>
      <c r="AJ9" s="229" t="str">
        <f>IF(ISNUMBER(Datos!BW9),Datos!BW9," - ")</f>
        <v xml:space="preserve"> - </v>
      </c>
      <c r="AK9" s="228" t="str">
        <f>IF(ISNUMBER(Datos!BX9),Datos!BX9," - ")</f>
        <v xml:space="preserve"> - </v>
      </c>
      <c r="AL9" s="243">
        <f>IF(ISNUMBER(NºAsuntos!G9/NºAsuntos!E9),NºAsuntos!G9/NºAsuntos!E9," - ")</f>
        <v>0.54109178164367122</v>
      </c>
      <c r="AM9" s="260">
        <f>IF(ISNUMBER(((NºAsuntos!I9/NºAsuntos!G9)*11)/factor_trimestre),((NºAsuntos!I9/NºAsuntos!G9)*11)/factor_trimestre," - ")</f>
        <v>9.6967849223946789</v>
      </c>
      <c r="AN9" s="244">
        <f>IF(ISNUMBER('Resol  Asuntos'!D9/NºAsuntos!G9),'Resol  Asuntos'!D9/NºAsuntos!G9," - ")</f>
        <v>0.24390243902439024</v>
      </c>
      <c r="AO9" s="245">
        <f>IF(ISNUMBER((NºAsuntos!C9+NºAsuntos!E9)/NºAsuntos!G9),(NºAsuntos!C9+NºAsuntos!E9)/NºAsuntos!G9," - ")</f>
        <v>4.2296747967479673</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2</v>
      </c>
      <c r="B10" s="275" t="s">
        <v>246</v>
      </c>
      <c r="C10" s="7" t="str">
        <f>Datos!A10</f>
        <v>Jdos. Violencia contra la mujer</v>
      </c>
      <c r="D10" s="7"/>
      <c r="E10" s="1025">
        <f>IF(ISNUMBER(Datos!AQ10),Datos!AQ10," - ")</f>
        <v>2</v>
      </c>
      <c r="F10" s="225">
        <f>IF(ISNUMBER(Datos!L10+Datos!K10-Datos!J10-K10),Datos!L10+Datos!K10-Datos!J10-K10," - ")</f>
        <v>256</v>
      </c>
      <c r="G10" s="333">
        <f>IF(ISNUMBER(Datos!I10),Datos!I10," - ")</f>
        <v>256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4</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41</v>
      </c>
      <c r="X10" s="226">
        <f>IF(ISNUMBER(Datos!Q10),Datos!Q10," - ")</f>
        <v>0</v>
      </c>
      <c r="Y10" s="334">
        <f t="shared" ref="Y10:Y12" si="0">SUM(W10:X10)</f>
        <v>41</v>
      </c>
      <c r="Z10" s="335" t="str">
        <f>IF(ISNUMBER(Datos!CC10),Datos!CC10," - ")</f>
        <v xml:space="preserve"> - </v>
      </c>
      <c r="AA10" s="332">
        <f>IF(ISNUMBER(Datos!L10),Datos!L10,"-")</f>
        <v>271</v>
      </c>
      <c r="AB10" s="334">
        <f>IF(ISNUMBER(Datos!R10),Datos!R10," - ")</f>
        <v>122</v>
      </c>
      <c r="AC10" s="334">
        <f t="shared" ref="AC10:AC12" si="1">IF(ISNUMBER(AA10+AB10),AA10+AB10," - ")</f>
        <v>393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23</v>
      </c>
      <c r="AJ10" s="231" t="str">
        <f>IF(ISNUMBER(Datos!BW10),Datos!BW10," - ")</f>
        <v xml:space="preserve"> - </v>
      </c>
      <c r="AK10" s="232" t="str">
        <f>IF(ISNUMBER(Datos!BX10),Datos!BX10," - ")</f>
        <v xml:space="preserve"> - </v>
      </c>
      <c r="AL10" s="243">
        <f>IF(ISNUMBER(NºAsuntos!G10/NºAsuntos!E10),NºAsuntos!G10/NºAsuntos!E10," - ")</f>
        <v>0.7321428571428571</v>
      </c>
      <c r="AM10" s="260">
        <f>IF(ISNUMBER(((NºAsuntos!I10/NºAsuntos!G10)*11)/factor_trimestre),((NºAsuntos!I10/NºAsuntos!G10)*11)/factor_trimestre," - ")</f>
        <v>19.829268292682926</v>
      </c>
      <c r="AN10" s="244">
        <f>IF(ISNUMBER('Resol  Asuntos'!D10/NºAsuntos!G10),'Resol  Asuntos'!D10/NºAsuntos!G10," - ")</f>
        <v>0.56097560975609762</v>
      </c>
      <c r="AO10" s="245">
        <f>IF(ISNUMBER((NºAsuntos!C10+NºAsuntos!E10)/NºAsuntos!G10),(NºAsuntos!C10+NºAsuntos!E10)/NºAsuntos!G10," - ")</f>
        <v>7.6097560975609753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42</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47</v>
      </c>
      <c r="Y11" s="334">
        <f t="shared" si="0"/>
        <v>47</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622</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188</v>
      </c>
      <c r="AJ11" s="231" t="str">
        <f>IF(ISNUMBER(Datos!BW11),Datos!BW11," - ")</f>
        <v xml:space="preserve"> - </v>
      </c>
      <c r="AK11" s="232" t="str">
        <f>IF(ISNUMBER(Datos!BX11),Datos!BX11," - ")</f>
        <v xml:space="preserve"> - </v>
      </c>
      <c r="AL11" s="243">
        <f>IF(ISNUMBER(NºAsuntos!G11/NºAsuntos!E11),NºAsuntos!G11/NºAsuntos!E11," - ")</f>
        <v>0.92073170731707321</v>
      </c>
      <c r="AM11" s="260">
        <f>IF(ISNUMBER(((NºAsuntos!I11/NºAsuntos!G11)*11)/factor_trimestre),((NºAsuntos!I11/NºAsuntos!G11)*11)/factor_trimestre," - ")</f>
        <v>5.3642384105960268</v>
      </c>
      <c r="AN11" s="244">
        <f>IF(ISNUMBER('Resol  Asuntos'!D11/NºAsuntos!G11),'Resol  Asuntos'!D11/NºAsuntos!G11," - ")</f>
        <v>0.41501103752759383</v>
      </c>
      <c r="AO11" s="245">
        <f>IF(ISNUMBER((NºAsuntos!C11+NºAsuntos!E11)/NºAsuntos!G11),(NºAsuntos!C11+NºAsuntos!E11)/NºAsuntos!G11," - ")</f>
        <v>2.9668874172185431</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13</v>
      </c>
      <c r="F13" s="865">
        <f t="shared" si="3"/>
        <v>256</v>
      </c>
      <c r="G13" s="866">
        <f t="shared" si="3"/>
        <v>256</v>
      </c>
      <c r="H13" s="865">
        <f t="shared" si="3"/>
        <v>0</v>
      </c>
      <c r="I13" s="867">
        <f t="shared" si="3"/>
        <v>0</v>
      </c>
      <c r="J13" s="867">
        <f t="shared" si="3"/>
        <v>0</v>
      </c>
      <c r="K13" s="867">
        <f t="shared" si="3"/>
        <v>0</v>
      </c>
      <c r="L13" s="867">
        <f t="shared" si="3"/>
        <v>1011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41</v>
      </c>
      <c r="X13" s="867">
        <f t="shared" si="4"/>
        <v>729</v>
      </c>
      <c r="Y13" s="868">
        <f t="shared" si="4"/>
        <v>770</v>
      </c>
      <c r="Z13" s="868">
        <f t="shared" si="4"/>
        <v>0</v>
      </c>
      <c r="AA13" s="868">
        <f t="shared" si="4"/>
        <v>271</v>
      </c>
      <c r="AB13" s="868">
        <f t="shared" si="4"/>
        <v>15556</v>
      </c>
      <c r="AC13" s="868">
        <f t="shared" si="4"/>
        <v>393</v>
      </c>
      <c r="AD13" s="868">
        <f t="shared" si="4"/>
        <v>0</v>
      </c>
      <c r="AE13" s="872">
        <f t="shared" si="4"/>
        <v>0</v>
      </c>
      <c r="AF13" s="865">
        <f t="shared" si="4"/>
        <v>0</v>
      </c>
      <c r="AG13" s="873">
        <f t="shared" si="4"/>
        <v>0</v>
      </c>
      <c r="AH13" s="870">
        <f t="shared" si="4"/>
        <v>0</v>
      </c>
      <c r="AI13" s="865">
        <f t="shared" si="4"/>
        <v>1531</v>
      </c>
      <c r="AJ13" s="867">
        <f t="shared" si="4"/>
        <v>0</v>
      </c>
      <c r="AK13" s="870">
        <f>SUBTOTAL(9,AK9:AK12)</f>
        <v>0</v>
      </c>
      <c r="AL13" s="874">
        <f>IF(ISNUMBER(NºAsuntos!G13/NºAsuntos!E13),NºAsuntos!G13/NºAsuntos!E13," - ")</f>
        <v>0.55981042654028434</v>
      </c>
      <c r="AM13" s="874">
        <f>IF(ISNUMBER(((NºAsuntos!I13/NºAsuntos!G13)*11)/factor_trimestre),((NºAsuntos!I13/NºAsuntos!G13)*11)/factor_trimestre," - ")</f>
        <v>9.4348120555367423</v>
      </c>
      <c r="AN13" s="875">
        <f>IF(ISNUMBER('Resol  Asuntos'!D13/NºAsuntos!G13),'Resol  Asuntos'!D13/NºAsuntos!G13," - ")</f>
        <v>0.25922790382661698</v>
      </c>
      <c r="AO13" s="876">
        <f>IF(ISNUMBER((NºAsuntos!C13+NºAsuntos!E13)/NºAsuntos!G13),(NºAsuntos!C13+NºAsuntos!E13)/NºAsuntos!G13," - ")</f>
        <v>4.1562817473755507</v>
      </c>
      <c r="AP13" s="877" t="str">
        <f t="shared" si="2"/>
        <v xml:space="preserve"> - </v>
      </c>
      <c r="AQ13" s="877">
        <f>IF(ISNUMBER((H13-W13+K13)/(F13)),(H13-W13+K13)/(F13)," - ")</f>
        <v>-0.16015625</v>
      </c>
      <c r="AR13" s="878">
        <f>IF(ISNUMBER((Datos!P13-Datos!Q13)/(Datos!R13-Datos!P13+Datos!Q13)),(Datos!P13-Datos!Q13)/(Datos!R13-Datos!P13+Datos!Q13)," - ")</f>
        <v>1.8462747152023045E-2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5</v>
      </c>
      <c r="B15" s="275" t="s">
        <v>396</v>
      </c>
      <c r="C15" s="160" t="str">
        <f>Datos!A15</f>
        <v xml:space="preserve">Jdos. Instrucción                               </v>
      </c>
      <c r="D15" s="160"/>
      <c r="E15" s="1025">
        <f>IF(ISNUMBER(Datos!AQ15),Datos!AQ15," - ")</f>
        <v>5</v>
      </c>
      <c r="F15" s="225">
        <f>IF(ISNUMBER(AA15+W15-Datos!J15-K15),AA15+W15-Datos!J15-K15," - ")</f>
        <v>2454</v>
      </c>
      <c r="G15" s="333">
        <f>IF(ISNUMBER(IF(D_I="SI",Datos!I15,Datos!I15+Datos!AC15)),IF(D_I="SI",Datos!I15,Datos!I15+Datos!AC15)," - ")</f>
        <v>2405</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211</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4826</v>
      </c>
      <c r="X15" s="226">
        <f>IF(ISNUMBER(Datos!Q15),Datos!Q15," - ")</f>
        <v>172</v>
      </c>
      <c r="Y15" s="334">
        <f>SUM(W15)</f>
        <v>4826</v>
      </c>
      <c r="Z15" s="335" t="str">
        <f>IF(ISNUMBER(Datos!CC15),Datos!CC15," - ")</f>
        <v xml:space="preserve"> - </v>
      </c>
      <c r="AA15" s="332">
        <f>IF(ISNUMBER(IF(D_I="SI",Datos!L15,Datos!L15+Datos!AF15)),IF(D_I="SI",Datos!L15,Datos!L15+Datos!AF15)," - ")</f>
        <v>2528</v>
      </c>
      <c r="AB15" s="334">
        <f>IF(ISNUMBER(Datos!R15),Datos!R15," - ")</f>
        <v>515</v>
      </c>
      <c r="AC15" s="334">
        <f t="shared" ref="AC15:AC17" si="6">IF(ISNUMBER(AA15+AB15),AA15+AB15," - ")</f>
        <v>3043</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493</v>
      </c>
      <c r="AJ15" s="231" t="str">
        <f>IF(ISNUMBER(Datos!BW15),Datos!BW15," - ")</f>
        <v xml:space="preserve"> - </v>
      </c>
      <c r="AK15" s="232" t="str">
        <f>IF(ISNUMBER(Datos!BX15),Datos!BX15," - ")</f>
        <v xml:space="preserve"> - </v>
      </c>
      <c r="AL15" s="243">
        <f>IF(ISNUMBER(NºAsuntos!G15/NºAsuntos!E15),NºAsuntos!G15/NºAsuntos!E15," - ")</f>
        <v>0.98489795918367351</v>
      </c>
      <c r="AM15" s="260">
        <f>IF(ISNUMBER(((NºAsuntos!I15/NºAsuntos!G15)*11)/factor_trimestre),((NºAsuntos!I15/NºAsuntos!G15)*11)/factor_trimestre," - ")</f>
        <v>1.5714877745544966</v>
      </c>
      <c r="AN15" s="244">
        <f>IF(ISNUMBER('Resol  Asuntos'!D15/NºAsuntos!G15),'Resol  Asuntos'!D15/NºAsuntos!G15," - ")</f>
        <v>0.10215499378367178</v>
      </c>
      <c r="AO15" s="245">
        <f>IF(ISNUMBER((NºAsuntos!C15+NºAsuntos!E15)/NºAsuntos!G15),(NºAsuntos!C15+NºAsuntos!E15)/NºAsuntos!G15," - ")</f>
        <v>1.5136759220886862</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2</v>
      </c>
      <c r="B17" s="275" t="s">
        <v>396</v>
      </c>
      <c r="C17" s="7" t="str">
        <f>Datos!A17</f>
        <v>Jdos. Violencia contra la mujer</v>
      </c>
      <c r="D17" s="7"/>
      <c r="E17" s="1025">
        <f>IF(ISNUMBER(Datos!AQ17),Datos!AQ17," - ")</f>
        <v>2</v>
      </c>
      <c r="F17" s="225" t="str">
        <f>IF(ISNUMBER(AA17+W17-H17-K17),AA17+W17-H17-K17," - ")</f>
        <v xml:space="preserve"> - </v>
      </c>
      <c r="G17" s="333">
        <f>IF(ISNUMBER(IF(D_I="SI",Datos!I17,Datos!I17+Datos!AC17)),IF(D_I="SI",Datos!I17,Datos!I17+Datos!AC17)," - ")</f>
        <v>403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679</v>
      </c>
      <c r="X17" s="226">
        <f>IF(ISNUMBER(Datos!Q17),Datos!Q17," - ")</f>
        <v>10</v>
      </c>
      <c r="Y17" s="334">
        <f t="shared" si="7"/>
        <v>689</v>
      </c>
      <c r="Z17" s="335" t="str">
        <f>IF(ISNUMBER(Datos!CC17),Datos!CC17," - ")</f>
        <v xml:space="preserve"> - </v>
      </c>
      <c r="AA17" s="332">
        <f>IF(ISNUMBER(Datos!L17),Datos!L17,"-")</f>
        <v>483</v>
      </c>
      <c r="AB17" s="334">
        <f>IF(ISNUMBER(Datos!R17),Datos!R17," - ")</f>
        <v>19</v>
      </c>
      <c r="AC17" s="334">
        <f t="shared" si="6"/>
        <v>502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118</v>
      </c>
      <c r="AJ17" s="231" t="str">
        <f>IF(ISNUMBER(Datos!BW17),Datos!BW17," - ")</f>
        <v xml:space="preserve"> - </v>
      </c>
      <c r="AK17" s="232" t="str">
        <f>IF(ISNUMBER(Datos!BX17),Datos!BX17," - ")</f>
        <v xml:space="preserve"> - </v>
      </c>
      <c r="AL17" s="243">
        <f>IF(ISNUMBER(NºAsuntos!G17/NºAsuntos!E17),NºAsuntos!G17/NºAsuntos!E17," - ")</f>
        <v>0.8945981554677207</v>
      </c>
      <c r="AM17" s="260">
        <f>IF(ISNUMBER(((NºAsuntos!I17/NºAsuntos!G17)*11)/factor_trimestre),((NºAsuntos!I17/NºAsuntos!G17)*11)/factor_trimestre," - ")</f>
        <v>2.1340206185567014</v>
      </c>
      <c r="AN17" s="244">
        <f>IF(ISNUMBER('Resol  Asuntos'!D17/NºAsuntos!G17),'Resol  Asuntos'!D17/NºAsuntos!G17," - ")</f>
        <v>0.17378497790868924</v>
      </c>
      <c r="AO17" s="245">
        <f>IF(ISNUMBER((NºAsuntos!C17+NºAsuntos!E17)/NºAsuntos!G17),(NºAsuntos!C17+NºAsuntos!E17)/NºAsuntos!G17," - ")</f>
        <v>1.7113402061855669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7</v>
      </c>
      <c r="F18" s="865">
        <f>SUBTOTAL(9,F14:F17)</f>
        <v>2454</v>
      </c>
      <c r="G18" s="866">
        <f>SUBTOTAL(9,G15:G17)</f>
        <v>2808</v>
      </c>
      <c r="H18" s="865">
        <f t="shared" ref="H18:O18" si="10">SUBTOTAL(9,H14:H17)</f>
        <v>0</v>
      </c>
      <c r="I18" s="867">
        <f t="shared" si="10"/>
        <v>0</v>
      </c>
      <c r="J18" s="867">
        <f t="shared" si="10"/>
        <v>0</v>
      </c>
      <c r="K18" s="867">
        <f t="shared" si="10"/>
        <v>0</v>
      </c>
      <c r="L18" s="867">
        <f t="shared" si="10"/>
        <v>222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5505</v>
      </c>
      <c r="X18" s="867">
        <f t="shared" si="11"/>
        <v>182</v>
      </c>
      <c r="Y18" s="868">
        <f t="shared" si="11"/>
        <v>5515</v>
      </c>
      <c r="Z18" s="868">
        <f t="shared" si="11"/>
        <v>0</v>
      </c>
      <c r="AA18" s="868">
        <f t="shared" si="11"/>
        <v>3011</v>
      </c>
      <c r="AB18" s="868">
        <f t="shared" si="11"/>
        <v>534</v>
      </c>
      <c r="AC18" s="868">
        <f t="shared" si="11"/>
        <v>3545</v>
      </c>
      <c r="AD18" s="868">
        <f t="shared" si="11"/>
        <v>0</v>
      </c>
      <c r="AE18" s="872">
        <f t="shared" si="11"/>
        <v>0</v>
      </c>
      <c r="AF18" s="865">
        <f t="shared" si="11"/>
        <v>0</v>
      </c>
      <c r="AG18" s="873">
        <f t="shared" si="11"/>
        <v>0</v>
      </c>
      <c r="AH18" s="870">
        <f t="shared" si="11"/>
        <v>0</v>
      </c>
      <c r="AI18" s="865">
        <f t="shared" si="11"/>
        <v>611</v>
      </c>
      <c r="AJ18" s="867">
        <f t="shared" si="11"/>
        <v>0</v>
      </c>
      <c r="AK18" s="870">
        <f t="shared" si="11"/>
        <v>0</v>
      </c>
      <c r="AL18" s="874">
        <f>IF(ISNUMBER(NºAsuntos!G18/NºAsuntos!E18),NºAsuntos!G18/NºAsuntos!E18," - ")</f>
        <v>0.97278671143311535</v>
      </c>
      <c r="AM18" s="874">
        <f>IF(ISNUMBER(((NºAsuntos!I18/NºAsuntos!G18)*11)/factor_trimestre),((NºAsuntos!I18/NºAsuntos!G18)*11)/factor_trimestre," - ")</f>
        <v>1.6408719346049045</v>
      </c>
      <c r="AN18" s="875">
        <f>IF(ISNUMBER('Resol  Asuntos'!D18/NºAsuntos!G18),'Resol  Asuntos'!D18/NºAsuntos!G18," - ")</f>
        <v>0.11099000908265214</v>
      </c>
      <c r="AO18" s="876">
        <f>IF(ISNUMBER((NºAsuntos!C18+NºAsuntos!E18)/NºAsuntos!G18),(NºAsuntos!C18+NºAsuntos!E18)/NºAsuntos!G18," - ")</f>
        <v>1.5380563124432334</v>
      </c>
      <c r="AP18" s="877" t="str">
        <f t="shared" si="2"/>
        <v xml:space="preserve"> - </v>
      </c>
      <c r="AQ18" s="877">
        <f>IF(ISNUMBER((H18-W18+K18)/(F18)),(H18-W18+K18)/(F18)," - ")</f>
        <v>-2.2432762836185818</v>
      </c>
      <c r="AR18" s="878">
        <f>IF(ISNUMBER((Datos!P18-Datos!Q18)/(Datos!R18-Datos!P18+Datos!Q18)),(Datos!P18-Datos!Q18)/(Datos!R18-Datos!P18+Datos!Q18)," - ")</f>
        <v>8.0971659919028341E-2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20</v>
      </c>
      <c r="F19" s="820">
        <f t="shared" si="13"/>
        <v>2710</v>
      </c>
      <c r="G19" s="821">
        <f t="shared" si="13"/>
        <v>3064</v>
      </c>
      <c r="H19" s="820">
        <f t="shared" si="13"/>
        <v>0</v>
      </c>
      <c r="I19" s="822">
        <f t="shared" si="13"/>
        <v>0</v>
      </c>
      <c r="J19" s="822">
        <f t="shared" si="13"/>
        <v>0</v>
      </c>
      <c r="K19" s="881">
        <f t="shared" si="13"/>
        <v>0</v>
      </c>
      <c r="L19" s="822">
        <f t="shared" si="13"/>
        <v>1233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5546</v>
      </c>
      <c r="X19" s="821">
        <f t="shared" si="14"/>
        <v>911</v>
      </c>
      <c r="Y19" s="828">
        <f t="shared" si="14"/>
        <v>6285</v>
      </c>
      <c r="Z19" s="828">
        <f t="shared" si="14"/>
        <v>0</v>
      </c>
      <c r="AA19" s="828">
        <f t="shared" si="14"/>
        <v>3282</v>
      </c>
      <c r="AB19" s="828">
        <f t="shared" si="14"/>
        <v>16090</v>
      </c>
      <c r="AC19" s="828">
        <f t="shared" si="14"/>
        <v>3938</v>
      </c>
      <c r="AD19" s="828">
        <f t="shared" si="14"/>
        <v>0</v>
      </c>
      <c r="AE19" s="830">
        <f t="shared" si="14"/>
        <v>0</v>
      </c>
      <c r="AF19" s="831">
        <f t="shared" si="14"/>
        <v>0</v>
      </c>
      <c r="AG19" s="832">
        <f t="shared" si="14"/>
        <v>0</v>
      </c>
      <c r="AH19" s="830">
        <f t="shared" si="14"/>
        <v>0</v>
      </c>
      <c r="AI19" s="820">
        <f t="shared" si="14"/>
        <v>2142</v>
      </c>
      <c r="AJ19" s="820">
        <f t="shared" si="14"/>
        <v>0</v>
      </c>
      <c r="AK19" s="830">
        <f t="shared" si="14"/>
        <v>0</v>
      </c>
      <c r="AL19" s="884">
        <f>IF(ISNUMBER(NºAsuntos!G19/NºAsuntos!E19),NºAsuntos!G19/NºAsuntos!E19," - ")</f>
        <v>0.70399160959960516</v>
      </c>
      <c r="AM19" s="885">
        <f>IF(ISNUMBER(((NºAsuntos!I19/NºAsuntos!G19)*11)/factor_trimestre),((NºAsuntos!I19/NºAsuntos!G19)*11)/factor_trimestre," - ")</f>
        <v>5.6747874857593548</v>
      </c>
      <c r="AN19" s="885">
        <f>IF(ISNUMBER('Resol  Asuntos'!D19/NºAsuntos!G19),'Resol  Asuntos'!D19/NºAsuntos!G19," - ")</f>
        <v>0.18771360967487513</v>
      </c>
      <c r="AO19" s="886">
        <f>IF(ISNUMBER((NºAsuntos!C19+NºAsuntos!E19)/NºAsuntos!G19),(NºAsuntos!C19+NºAsuntos!E19)/NºAsuntos!G19," - ")</f>
        <v>2.893173253877837</v>
      </c>
      <c r="AP19" s="887" t="str">
        <f t="shared" si="2"/>
        <v xml:space="preserve"> - </v>
      </c>
      <c r="AQ19" s="888">
        <f>IF(OR(ISNUMBER(FIND("01",Criterios!A8,1)),ISNUMBER(FIND("02",Criterios!A8,1)),ISNUMBER(FIND("03",Criterios!A8,1)),ISNUMBER(FIND("04",Criterios!A8,1))),(I19-W19+K19)/(F19-K19),(H19-W19+K19)/(F19-K19))</f>
        <v>-2.0464944649446495</v>
      </c>
      <c r="AR19" s="889">
        <f>IF(ISNUMBER((Datos!P19-Datos!Q19)/(Datos!R19-Datos!P19+Datos!Q19)),(Datos!P19-Datos!Q19)/(Datos!R19-Datos!P19+Datos!Q19)," - ")</f>
        <v>2.0421106037544393E-2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1225.5999999999999</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4.4472213547087778</v>
      </c>
      <c r="F21" s="252">
        <f>IF(ISNUMBER(STDEV(F8:F18)),STDEV(F8:F18),"-")</f>
        <v>1269.0158916787973</v>
      </c>
      <c r="G21" s="253">
        <f>IF(ISNUMBER(STDEV(G8:G18)),STDEV(G8:G18),"-")</f>
        <v>1270.0288579398502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2713.5406390912963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595.91945764507477</v>
      </c>
      <c r="AJ21" s="252">
        <f t="shared" si="18"/>
        <v>0</v>
      </c>
      <c r="AK21" s="254">
        <f t="shared" si="18"/>
        <v>0</v>
      </c>
      <c r="AL21" s="249">
        <f t="shared" si="18"/>
        <v>0.19012772117792737</v>
      </c>
      <c r="AM21" s="250">
        <f t="shared" si="18"/>
        <v>6.6114690821134197</v>
      </c>
      <c r="AN21" s="250">
        <f t="shared" si="18"/>
        <v>0.16789064748555005</v>
      </c>
      <c r="AO21" s="251">
        <f t="shared" si="18"/>
        <v>2.2002193359050621</v>
      </c>
      <c r="AP21" s="291" t="str">
        <f t="shared" si="18"/>
        <v>-</v>
      </c>
      <c r="AQ21" s="292">
        <f t="shared" si="18"/>
        <v>1.472988301797248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BlwIn6ojwBG2+lSqtiPtVMi52PG7aqPDlIQk1el4JVAeboUjywG/a+1G9RdvjxqUrdO2aBZWTRzifi5Fz1hUYQ==" saltValue="XPkkCRtFr7auk4w1hAbDaQ=="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CANARIAS</v>
      </c>
      <c r="E2" s="263"/>
    </row>
    <row r="3" spans="2:20" ht="17.25" customHeight="1">
      <c r="C3" s="267"/>
      <c r="D3" s="262" t="str">
        <f>Criterios!A10 &amp;"  "&amp;Criterios!B10</f>
        <v>Provincias  SANTA CRUZ DE TENERIFE</v>
      </c>
      <c r="E3" s="263"/>
    </row>
    <row r="4" spans="2:20" ht="17.25" customHeight="1" thickBot="1">
      <c r="D4" s="262" t="str">
        <f>Criterios!A11 &amp;"  "&amp;Criterios!B11</f>
        <v>Resumenes por Partidos Judiciales  SANTA CRUZ DE TENERIFE</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0.32264529058116231</v>
      </c>
      <c r="I9" s="350">
        <f>IF(ISNUMBER((Tasas!C9-Datos!BE9)/Datos!BE9),(Tasas!C9-Datos!BE9)/Datos!BE9," - ")</f>
        <v>0.83427562319224935</v>
      </c>
      <c r="J9" s="349">
        <f>IF(ISNUMBER((Tasas!D9-Datos!BF9)/Datos!BF9),(Tasas!D9-Datos!BF9)/Datos!BF9," - ")</f>
        <v>-0.54658552433477547</v>
      </c>
      <c r="K9" s="351">
        <f>IF(ISNUMBER((Tasas!E9-Datos!BG9)/Datos!BG9),(Tasas!E9-Datos!BG9)/Datos!BG9," - ")</f>
        <v>0.53149396867631893</v>
      </c>
      <c r="M9" t="e">
        <f>IF(Monitorios="SI",Datos!CE9,0)</f>
        <v>#REF!</v>
      </c>
      <c r="N9" t="e">
        <f>IF(Monitorios="SI",Datos!CF9,0)</f>
        <v>#REF!</v>
      </c>
      <c r="O9" t="e">
        <f>IF(Monitorios="SI",Datos!CG9,0)</f>
        <v>#REF!</v>
      </c>
      <c r="P9" t="e">
        <f>IF(Monitorios="SI",Datos!CH9,0)</f>
        <v>#REF!</v>
      </c>
      <c r="Q9">
        <f>IF(J_V="SI",0,Datos!AG9)</f>
        <v>125</v>
      </c>
      <c r="R9">
        <f>IF(J_V="SI",0,Datos!AH9)</f>
        <v>61</v>
      </c>
      <c r="S9">
        <f>IF(J_V="SI",0,Datos!AI9)</f>
        <v>68</v>
      </c>
      <c r="T9">
        <f>IF(J_V="SI",0,Datos!AJ9)</f>
        <v>118</v>
      </c>
    </row>
    <row r="10" spans="2:20" ht="14.25">
      <c r="B10" s="275" t="s">
        <v>246</v>
      </c>
      <c r="C10" s="7" t="str">
        <f>Datos!A10</f>
        <v>Jdos. Violencia contra la mujer</v>
      </c>
      <c r="D10" s="352">
        <f>IF(ISNUMBER((Datos!I10-Datos!S10)/Datos!S10),(Datos!I10-Datos!S10)/Datos!S10," - ")</f>
        <v>0.28643216080402012</v>
      </c>
      <c r="E10" s="348">
        <f>IF(ISNUMBER((Datos!J10-Datos!T10)/Datos!T10),(Datos!J10-Datos!T10)/Datos!T10," - ")</f>
        <v>-0.21126760563380281</v>
      </c>
      <c r="F10" s="348">
        <f>IF(ISNUMBER((Datos!K10-Datos!U10)/Datos!U10),(Datos!K10-Datos!U10)/Datos!U10," - ")</f>
        <v>-6.8181818181818177E-2</v>
      </c>
      <c r="G10" s="349">
        <f>IF(ISNUMBER((Datos!L10-Datos!V10)/Datos!V10),(Datos!L10-Datos!V10)/Datos!V10," - ")</f>
        <v>0.19911504424778761</v>
      </c>
      <c r="H10" s="230">
        <f>IF(ISNUMBER((Datos!M10-Datos!W10)/Datos!W10),(Datos!M10-Datos!W10)/Datos!W10," - ")</f>
        <v>0</v>
      </c>
      <c r="I10" s="350">
        <f>IF(ISNUMBER((Tasas!C10-Datos!BE10)/Datos!BE10),(Tasas!C10-Datos!BE10)/Datos!BE10," - ")</f>
        <v>0.28685516943664996</v>
      </c>
      <c r="J10" s="349">
        <f>IF(ISNUMBER((Tasas!D10-Datos!BF10)/Datos!BF10),(Tasas!D10-Datos!BF10)/Datos!BF10," - ")</f>
        <v>7.3170731707317221E-2</v>
      </c>
      <c r="K10" s="351">
        <f>IF(ISNUMBER((Tasas!E10-Datos!BG10)/Datos!BG10),(Tasas!E10-Datos!BG10)/Datos!BG10," - ")</f>
        <v>0.24010840108401071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v>
      </c>
      <c r="I11" s="350">
        <f>IF(ISNUMBER((Tasas!C11-Datos!BE11)/Datos!BE11),(Tasas!C11-Datos!BE11)/Datos!BE11," - ")</f>
        <v>-5.9798044647904024E-2</v>
      </c>
      <c r="J11" s="349">
        <f>IF(ISNUMBER((Tasas!D11-Datos!BF11)/Datos!BF11),(Tasas!D11-Datos!BF11)/Datos!BF11," - ")</f>
        <v>-0.2630231041769775</v>
      </c>
      <c r="K11" s="351">
        <f>IF(ISNUMBER((Tasas!E11-Datos!BG11)/Datos!BG11),(Tasas!E11-Datos!BG11)/Datos!BG11," - ")</f>
        <v>-3.7168094266130805E-3</v>
      </c>
      <c r="M11" t="e">
        <f>IF(Monitorios="SI",Datos!CE11,0)</f>
        <v>#REF!</v>
      </c>
      <c r="N11" t="e">
        <f>IF(Monitorios="SI",Datos!CF11,0)</f>
        <v>#REF!</v>
      </c>
      <c r="O11" t="e">
        <f>IF(Monitorios="SI",Datos!CG11,0)</f>
        <v>#REF!</v>
      </c>
      <c r="P11" t="e">
        <f>IF(Monitorios="SI",Datos!CH11,0)</f>
        <v>#REF!</v>
      </c>
      <c r="Q11">
        <f>IF(J_V="SI",0,Datos!AG11)</f>
        <v>141</v>
      </c>
      <c r="R11">
        <f>IF(J_V="SI",0,Datos!AH11)</f>
        <v>136</v>
      </c>
      <c r="S11">
        <f>IF(J_V="SI",0,Datos!AI11)</f>
        <v>131</v>
      </c>
      <c r="T11">
        <f>IF(J_V="SI",0,Datos!AJ11)</f>
        <v>143</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0.26633581472291151</v>
      </c>
      <c r="I13" s="357">
        <f>IF(ISNUMBER((Tasas!C13-Datos!BE13)/Datos!BE13),(Tasas!C13-Datos!BE13)/Datos!BE13," - ")</f>
        <v>0.75013612624911741</v>
      </c>
      <c r="J13" s="355">
        <f>IF(ISNUMBER((Tasas!D13-Datos!BF13)/Datos!BF13),(Tasas!D13-Datos!BF13)/Datos!BF13," - ")</f>
        <v>-0.51979218880137334</v>
      </c>
      <c r="K13" s="358">
        <f>IF(ISNUMBER((Tasas!E13-Datos!BG13)/Datos!BG13),(Tasas!E13-Datos!BG13)/Datos!BG13," - ")</f>
        <v>0.48294920822984361</v>
      </c>
      <c r="M13" t="e">
        <f>IF(Monitorios="SI",Datos!CE13,0)</f>
        <v>#REF!</v>
      </c>
      <c r="N13" t="e">
        <f>IF(Monitorios="SI",Datos!CF13,0)</f>
        <v>#REF!</v>
      </c>
      <c r="O13" t="e">
        <f>IF(Monitorios="SI",Datos!CG13,0)</f>
        <v>#REF!</v>
      </c>
      <c r="P13" t="e">
        <f>IF(Monitorios="SI",Datos!CH13,0)</f>
        <v>#REF!</v>
      </c>
      <c r="Q13">
        <f>IF(J_V="SI",0,Datos!AG13)</f>
        <v>266</v>
      </c>
      <c r="R13">
        <f>IF(J_V="SI",0,Datos!AH13)</f>
        <v>197</v>
      </c>
      <c r="S13">
        <f>IF(J_V="SI",0,Datos!AI13)</f>
        <v>199</v>
      </c>
      <c r="T13">
        <f>IF(J_V="SI",0,Datos!AJ13)</f>
        <v>261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6.6992014196983141E-2</v>
      </c>
      <c r="E15" s="348">
        <f>IF(ISNUMBER(
   IF(D_I="SI",(Datos!J15-Datos!T15)/Datos!T15,(Datos!J15+Datos!AD15-(Datos!T15+Datos!AL15))/(Datos!T15+Datos!AL15))
     ),IF(D_I="SI",(Datos!J15-Datos!T15)/Datos!T15,(Datos!J15+Datos!AD15-(Datos!T15+Datos!AL15))/(Datos!T15+Datos!AL15))," - ")</f>
        <v>6.940200785683108E-2</v>
      </c>
      <c r="F15" s="348">
        <f>IF(ISNUMBER(
   IF(D_I="SI",(Datos!K15-Datos!U15)/Datos!U15,(Datos!K15+Datos!AE15-(Datos!U15+Datos!AM15))/(Datos!U15+Datos!AM15))
     ),IF(D_I="SI",(Datos!K15-Datos!U15)/Datos!U15,(Datos!K15+Datos!AE15-(Datos!U15+Datos!AM15))/(Datos!U15+Datos!AM15))," - ")</f>
        <v>6.0193321616871708E-2</v>
      </c>
      <c r="G15" s="349">
        <f>IF(ISNUMBER(
   IF(D_I="SI",(Datos!L15-Datos!V15)/Datos!V15,(Datos!L15+Datos!AF15-(Datos!V15+Datos!AN15))/(Datos!V15+Datos!AN15))
     ),IF(D_I="SI",(Datos!L15-Datos!V15)/Datos!V15,(Datos!L15+Datos!AF15-(Datos!V15+Datos!AN15))/(Datos!V15+Datos!AN15))," - ")</f>
        <v>8.5910652920962199E-2</v>
      </c>
      <c r="H15" s="230">
        <f>IF(ISNUMBER((Datos!M15-Datos!W15)/Datos!W15),(Datos!M15-Datos!W15)/Datos!W15," - ")</f>
        <v>-0.10849909584086799</v>
      </c>
      <c r="I15" s="350">
        <f>IF(ISNUMBER((Tasas!C15-Datos!BE15)/Datos!BE15),(Tasas!C15-Datos!BE15)/Datos!BE15," - ")</f>
        <v>2.4257209302988043E-2</v>
      </c>
      <c r="J15" s="349">
        <f>IF(ISNUMBER((Tasas!D15-Datos!BF15)/Datos!BF15),(Tasas!D15-Datos!BF15)/Datos!BF15," - ")</f>
        <v>-0.1591147708801556</v>
      </c>
      <c r="K15" s="351">
        <f>IF(ISNUMBER((Tasas!E15-Datos!BG15)/Datos!BG15),(Tasas!E15-Datos!BG15)/Datos!BG15," - ")</f>
        <v>7.9363366512140172E-3</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-4.9382716049382715E-3</v>
      </c>
      <c r="E17" s="348">
        <f>IF(ISNUMBER(
   IF(D_I="SI",(Datos!J17-Datos!T17)/Datos!T17,(Datos!J17+Datos!AD17-(Datos!T17+Datos!AL17))/(Datos!T17+Datos!AL17))
     ),IF(D_I="SI",(Datos!J17-Datos!T17)/Datos!T17,(Datos!J17+Datos!AD17-(Datos!T17+Datos!AL17))/(Datos!T17+Datos!AL17))," - ")</f>
        <v>0.24222585924713586</v>
      </c>
      <c r="F17" s="348">
        <f>IF(ISNUMBER(
   IF(D_I="SI",(Datos!K17-Datos!U17)/Datos!U17,(Datos!K17+Datos!AE17-(Datos!U17+Datos!AM17))/(Datos!U17+Datos!AM17))
     ),IF(D_I="SI",(Datos!K17-Datos!U17)/Datos!U17,(Datos!K17+Datos!AE17-(Datos!U17+Datos!AM17))/(Datos!U17+Datos!AM17))," - ")</f>
        <v>8.98876404494382E-2</v>
      </c>
      <c r="G17" s="349">
        <f>IF(ISNUMBER(
   IF(D_I="SI",(Datos!L17-Datos!V17)/Datos!V17,(Datos!L17+Datos!AF17-(Datos!V17+Datos!AN17))/(Datos!V17+Datos!AN17))
     ),IF(D_I="SI",(Datos!L17-Datos!V17)/Datos!V17,(Datos!L17+Datos!AF17-(Datos!V17+Datos!AN17))/(Datos!V17+Datos!AN17))," - ")</f>
        <v>0.22900763358778625</v>
      </c>
      <c r="H17" s="230">
        <f>IF(ISNUMBER((Datos!M17-Datos!W17)/Datos!W17),(Datos!M17-Datos!W17)/Datos!W17," - ")</f>
        <v>8.5470085470085479E-3</v>
      </c>
      <c r="I17" s="350">
        <f>IF(ISNUMBER((Tasas!C17-Datos!BE17)/Datos!BE17),(Tasas!C17-Datos!BE17)/Datos!BE17," - ")</f>
        <v>0.1276461792712679</v>
      </c>
      <c r="J17" s="349">
        <f>IF(ISNUMBER((Tasas!D17-Datos!BF17)/Datos!BF17),(Tasas!D17-Datos!BF17)/Datos!BF17," - ")</f>
        <v>-7.4632126178517916E-2</v>
      </c>
      <c r="K17" s="351">
        <f>IF(ISNUMBER((Tasas!E17-Datos!BG17)/Datos!BG17),(Tasas!E17-Datos!BG17)/Datos!BG17," - ")</f>
        <v>4.9374949265362345E-2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5.6036103798420459E-2</v>
      </c>
      <c r="E18" s="354">
        <f>IF(ISNUMBER(
   IF(D_I="SI",(Datos!J18-Datos!T18)/Datos!T18,(Datos!J18+Datos!AD18-(Datos!T18+Datos!AL18))/(Datos!T18+Datos!AL18))
     ),IF(D_I="SI",(Datos!J18-Datos!T18)/Datos!T18,(Datos!J18+Datos!AD18-(Datos!T18+Datos!AL18))/(Datos!T18+Datos!AL18))," - ")</f>
        <v>8.9736183323704991E-2</v>
      </c>
      <c r="F18" s="354">
        <f>IF(ISNUMBER(
   IF(D_I="SI",(Datos!K18-Datos!U18)/Datos!U18,(Datos!K18+Datos!AE18-(Datos!U18+Datos!AM18))/(Datos!U18+Datos!AM18))
     ),IF(D_I="SI",(Datos!K18-Datos!U18)/Datos!U18,(Datos!K18+Datos!AE18-(Datos!U18+Datos!AM18))/(Datos!U18+Datos!AM18))," - ")</f>
        <v>6.3768115942028983E-2</v>
      </c>
      <c r="G18" s="355">
        <f>IF(ISNUMBER(
   IF(D_I="SI",(Datos!L18-Datos!V18)/Datos!V18,(Datos!L18+Datos!AF18-(Datos!V18+Datos!AN18))/(Datos!V18+Datos!AN18))
     ),IF(D_I="SI",(Datos!L18-Datos!V18)/Datos!V18,(Datos!L18+Datos!AF18-(Datos!V18+Datos!AN18))/(Datos!V18+Datos!AN18))," - ")</f>
        <v>0.10657846380007351</v>
      </c>
      <c r="H18" s="356">
        <f>IF(ISNUMBER((Datos!M18-Datos!W18)/Datos!W18),(Datos!M18-Datos!W18)/Datos!W18," - ")</f>
        <v>-8.8059701492537307E-2</v>
      </c>
      <c r="I18" s="357">
        <f>IF(ISNUMBER((Tasas!C18-Datos!BE18)/Datos!BE18),(Tasas!C18-Datos!BE18)/Datos!BE18," - ")</f>
        <v>4.0244059975545837E-2</v>
      </c>
      <c r="J18" s="355">
        <f>IF(ISNUMBER((Tasas!D18-Datos!BF18)/Datos!BF18),(Tasas!D18-Datos!BF18)/Datos!BF18," - ")</f>
        <v>-0.14272642238399275</v>
      </c>
      <c r="K18" s="358">
        <f>IF(ISNUMBER((Tasas!E18-Datos!BG18)/Datos!BG18),(Tasas!E18-Datos!BG18)/Datos!BG18," - ")</f>
        <v>1.368331850404131E-2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0.22637378676202291</v>
      </c>
      <c r="E19" s="363">
        <f>IF(ISNUMBER(
   IF(J_V="SI",(Datos!J19-Datos!T19)/Datos!T19,(Datos!J19+Datos!Z19-(Datos!T19+Datos!AH19))/(Datos!T19+Datos!AH19))
     ),IF(J_V="SI",(Datos!J19-Datos!T19)/Datos!T19,(Datos!J19+Datos!Z19-(Datos!T19+Datos!AH19))/(Datos!T19+Datos!AH19))," - ")</f>
        <v>0.38443799111718485</v>
      </c>
      <c r="F19" s="363">
        <f>IF(ISNUMBER(
   IF(J_V="SI",(Datos!K19-Datos!U19)/Datos!U19,(Datos!K19+Datos!AA19-(Datos!U19+Datos!AI19))/(Datos!U19+Datos!AI19))
     ),IF(J_V="SI",(Datos!K19-Datos!U19)/Datos!U19,(Datos!K19+Datos!AA19-(Datos!U19+Datos!AI19))/(Datos!U19+Datos!AI19))," - ")</f>
        <v>-2.5349650349650349E-3</v>
      </c>
      <c r="G19" s="364">
        <f>IF(ISNUMBER(
   IF(J_V="SI",(Datos!L19-Datos!V19)/Datos!V19,(Datos!L19+Datos!AB19-(Datos!V19+Datos!AJ19))/(Datos!V19+Datos!AJ19))
     ),IF(J_V="SI",(Datos!L19-Datos!V19)/Datos!V19,(Datos!L19+Datos!AB19-(Datos!V19+Datos!AJ19))/(Datos!V19+Datos!AJ19))," - ")</f>
        <v>0.54410186708634378</v>
      </c>
      <c r="H19" s="365">
        <f>IF(ISNUMBER((Datos!M19-Datos!W19)/Datos!W19),(Datos!M19-Datos!W19)/Datos!W19," - ")</f>
        <v>0.13996806812134113</v>
      </c>
      <c r="I19" s="362">
        <f>IF(ISNUMBER((Tasas!C19-Datos!BE19)/Datos!BE19),(Tasas!C19-Datos!BE19)/Datos!BE19," - ")</f>
        <v>0.54802605901917201</v>
      </c>
      <c r="J19" s="363">
        <f>IF(ISNUMBER((Tasas!D19-Datos!BF19)/Datos!BF19),(Tasas!D19-Datos!BF19)/Datos!BF19," - ")</f>
        <v>-0.47002870318840784</v>
      </c>
      <c r="K19" s="364">
        <f>IF(ISNUMBER((Tasas!E19-Datos!BG19)/Datos!BG19),(Tasas!E19-Datos!BG19)/Datos!BG19," - ")</f>
        <v>0.30250293275992507</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0.12752284839486147</v>
      </c>
      <c r="E21" s="278">
        <f t="shared" si="1"/>
        <v>0.18898185520440969</v>
      </c>
      <c r="F21" s="278">
        <f t="shared" si="1"/>
        <v>7.0977506220568268E-2</v>
      </c>
      <c r="G21" s="279">
        <f t="shared" si="1"/>
        <v>6.9620773798419175E-2</v>
      </c>
      <c r="H21" s="285">
        <f t="shared" si="1"/>
        <v>0.16914801693881321</v>
      </c>
      <c r="I21" s="277">
        <f t="shared" si="1"/>
        <v>0.36276400766380373</v>
      </c>
      <c r="J21" s="278">
        <f t="shared" si="1"/>
        <v>0.22873414670462455</v>
      </c>
      <c r="K21" s="279">
        <f t="shared" si="1"/>
        <v>0.23326488552624441</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M2xATHcwIXDMydFn+pK187vVR2qKx6kr45iFuYVwOcMVYC4TakN+cCDquE5i27vEuQT8QFRrf0UqMOkGsu044g==" saltValue="xjNrixlulc17tQlWwcOKbg=="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2025-06-03T19:08:37Z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